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Виниловый сайдинг" sheetId="1" r:id="rId1"/>
  </sheets>
  <definedNames>
    <definedName name="Belarus">1</definedName>
    <definedName name="Belarusia">1</definedName>
    <definedName name="Z_A22E8694_B07B_4E99_AA25_83A76CC13B05_.wvu.PrintArea" localSheetId="0" hidden="1">'Виниловый сайдинг'!$A$2:$Y$80</definedName>
    <definedName name="Z_F69A7076_9F1C_4D95_80EA_B4A9F6043254_.wvu.PrintArea" localSheetId="0" hidden="1">'Виниловый сайдинг'!$A$2:$Y$80</definedName>
    <definedName name="_xlnm.Print_Area" localSheetId="0">'Виниловый сайдинг'!$A$2:$AC$86</definedName>
  </definedNames>
  <calcPr calcId="145621"/>
</workbook>
</file>

<file path=xl/calcChain.xml><?xml version="1.0" encoding="utf-8"?>
<calcChain xmlns="http://schemas.openxmlformats.org/spreadsheetml/2006/main">
  <c r="W77" i="1" l="1"/>
  <c r="W76" i="1"/>
  <c r="W75" i="1"/>
  <c r="W74" i="1"/>
  <c r="W73" i="1"/>
  <c r="W72" i="1"/>
  <c r="W71" i="1"/>
  <c r="W70" i="1"/>
  <c r="W69" i="1"/>
  <c r="Z65" i="1"/>
  <c r="Z66" i="1" s="1"/>
  <c r="V65" i="1"/>
  <c r="V66" i="1" s="1"/>
  <c r="S63" i="1"/>
  <c r="S64" i="1" s="1"/>
  <c r="P63" i="1"/>
  <c r="P64" i="1" s="1"/>
  <c r="M63" i="1"/>
  <c r="M64" i="1" s="1"/>
  <c r="P61" i="1"/>
  <c r="P62" i="1" s="1"/>
  <c r="M61" i="1"/>
  <c r="M62" i="1" s="1"/>
  <c r="J59" i="1"/>
  <c r="J60" i="1" s="1"/>
  <c r="G59" i="1"/>
  <c r="G60" i="1" s="1"/>
  <c r="U53" i="1"/>
  <c r="T53" i="1"/>
  <c r="P53" i="1"/>
  <c r="I53" i="1"/>
  <c r="H53" i="1"/>
  <c r="G53" i="1"/>
  <c r="T52" i="1"/>
  <c r="P52" i="1"/>
  <c r="I52" i="1"/>
  <c r="H52" i="1"/>
  <c r="G52" i="1"/>
  <c r="T51" i="1"/>
  <c r="G51" i="1"/>
  <c r="U50" i="1"/>
  <c r="T50" i="1"/>
  <c r="P50" i="1"/>
  <c r="I50" i="1"/>
  <c r="H50" i="1"/>
  <c r="G50" i="1"/>
  <c r="G48" i="1"/>
  <c r="S47" i="1"/>
  <c r="G47" i="1"/>
  <c r="U46" i="1"/>
  <c r="T46" i="1"/>
  <c r="S46" i="1"/>
  <c r="G46" i="1"/>
  <c r="U45" i="1"/>
  <c r="T45" i="1"/>
  <c r="S45" i="1"/>
  <c r="G45" i="1"/>
  <c r="T44" i="1"/>
  <c r="S44" i="1"/>
  <c r="G44" i="1"/>
  <c r="J43" i="1"/>
  <c r="I43" i="1"/>
  <c r="H43" i="1"/>
  <c r="G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S41" i="1"/>
  <c r="G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G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S37" i="1"/>
  <c r="G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X32" i="1"/>
  <c r="X33" i="1" s="1"/>
  <c r="W32" i="1"/>
  <c r="W33" i="1" s="1"/>
  <c r="V32" i="1"/>
  <c r="V33" i="1" s="1"/>
  <c r="T32" i="1"/>
  <c r="T33" i="1" s="1"/>
  <c r="J30" i="1"/>
  <c r="J31" i="1" s="1"/>
  <c r="I30" i="1"/>
  <c r="I31" i="1" s="1"/>
  <c r="H30" i="1"/>
  <c r="H31" i="1" s="1"/>
  <c r="G30" i="1"/>
  <c r="G31" i="1" s="1"/>
  <c r="Y28" i="1"/>
  <c r="Y29" i="1" s="1"/>
  <c r="X28" i="1"/>
  <c r="X29" i="1" s="1"/>
  <c r="W28" i="1"/>
  <c r="W29" i="1" s="1"/>
  <c r="V28" i="1"/>
  <c r="V29" i="1" s="1"/>
  <c r="U28" i="1"/>
  <c r="U29" i="1" s="1"/>
  <c r="T28" i="1"/>
  <c r="T29" i="1" s="1"/>
  <c r="Q28" i="1"/>
  <c r="Q29" i="1" s="1"/>
  <c r="P28" i="1"/>
  <c r="P29" i="1" s="1"/>
  <c r="O28" i="1"/>
  <c r="O29" i="1" s="1"/>
  <c r="I28" i="1"/>
  <c r="I29" i="1" s="1"/>
  <c r="H28" i="1"/>
  <c r="H29" i="1" s="1"/>
  <c r="AC26" i="1"/>
  <c r="AC27" i="1" s="1"/>
  <c r="AB26" i="1"/>
  <c r="AB27" i="1" s="1"/>
  <c r="AA26" i="1"/>
  <c r="AA27" i="1" s="1"/>
  <c r="Z26" i="1"/>
  <c r="Z27" i="1" s="1"/>
  <c r="I24" i="1"/>
  <c r="I25" i="1" s="1"/>
  <c r="Y22" i="1"/>
  <c r="Y23" i="1" s="1"/>
  <c r="X22" i="1"/>
  <c r="X23" i="1" s="1"/>
  <c r="W22" i="1"/>
  <c r="W23" i="1" s="1"/>
  <c r="V22" i="1"/>
  <c r="V23" i="1" s="1"/>
  <c r="U22" i="1"/>
  <c r="U23" i="1" s="1"/>
  <c r="T22" i="1"/>
  <c r="T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Y20" i="1"/>
  <c r="Y21" i="1" s="1"/>
  <c r="X20" i="1"/>
  <c r="X21" i="1" s="1"/>
  <c r="W20" i="1"/>
  <c r="W21" i="1" s="1"/>
  <c r="V20" i="1"/>
  <c r="V21" i="1" s="1"/>
  <c r="U20" i="1"/>
  <c r="U21" i="1" s="1"/>
  <c r="T20" i="1"/>
  <c r="T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AB12" i="1"/>
  <c r="X10" i="1"/>
  <c r="X11" i="1" s="1"/>
</calcChain>
</file>

<file path=xl/comments1.xml><?xml version="1.0" encoding="utf-8"?>
<comments xmlns="http://schemas.openxmlformats.org/spreadsheetml/2006/main">
  <authors>
    <author>akalinichenko</author>
  </authors>
  <commentList>
    <comment ref="A20" authorId="0">
      <text/>
    </comment>
    <comment ref="A22" authorId="0">
      <text/>
    </comment>
    <comment ref="A24" authorId="0">
      <text/>
    </comment>
    <comment ref="A26" authorId="0">
      <text/>
    </comment>
    <comment ref="A28" authorId="0">
      <text/>
    </comment>
    <comment ref="A30" authorId="0">
      <text/>
    </comment>
    <comment ref="A32" authorId="0">
      <text/>
    </comment>
    <comment ref="A35" authorId="0">
      <text/>
    </comment>
    <comment ref="A36" authorId="0">
      <text/>
    </comment>
    <comment ref="A37" authorId="0">
      <text/>
    </comment>
    <comment ref="A38" authorId="0">
      <text/>
    </comment>
    <comment ref="A39" authorId="0">
      <text/>
    </comment>
    <comment ref="A40" authorId="0">
      <text/>
    </comment>
    <comment ref="A41" authorId="0">
      <text/>
    </comment>
    <comment ref="A42" authorId="0">
      <text/>
    </comment>
    <comment ref="A43" authorId="0">
      <text/>
    </comment>
    <comment ref="A44" authorId="0">
      <text/>
    </comment>
    <comment ref="A45" authorId="0">
      <text/>
    </comment>
    <comment ref="A46" authorId="0">
      <text/>
    </comment>
    <comment ref="A47" authorId="0">
      <text/>
    </comment>
    <comment ref="A48" authorId="0">
      <text/>
    </comment>
    <comment ref="A50" authorId="0">
      <text/>
    </comment>
    <comment ref="A51" authorId="0">
      <text/>
    </comment>
    <comment ref="A52" authorId="0">
      <text/>
    </comment>
    <comment ref="A53" authorId="0">
      <text/>
    </comment>
    <comment ref="A59" authorId="0">
      <text/>
    </comment>
    <comment ref="A61" authorId="0">
      <text/>
    </comment>
    <comment ref="A65" authorId="0">
      <text/>
    </comment>
  </commentList>
</comments>
</file>

<file path=xl/sharedStrings.xml><?xml version="1.0" encoding="utf-8"?>
<sst xmlns="http://schemas.openxmlformats.org/spreadsheetml/2006/main" count="746" uniqueCount="132">
  <si>
    <t>Виниловый, акриловый сайдинг и фасадные панели Grand Line</t>
  </si>
  <si>
    <t>Цены действительны с</t>
  </si>
  <si>
    <t>Наименование</t>
  </si>
  <si>
    <t>Габаритные размеры</t>
  </si>
  <si>
    <t>Рабочие размеры</t>
  </si>
  <si>
    <t>Поезная площадь, кв.м.</t>
  </si>
  <si>
    <t>Кол-во шт./упак.</t>
  </si>
  <si>
    <t>единица измерения</t>
  </si>
  <si>
    <t>Цена, руб./ед.изм.</t>
  </si>
  <si>
    <t>длина, мм</t>
  </si>
  <si>
    <t>высота, мм</t>
  </si>
  <si>
    <t>Янтарный, Жемчужный, Яшма, Лунный камень</t>
  </si>
  <si>
    <t>Белый</t>
  </si>
  <si>
    <t>Панели термоформованные "Я-фасад"</t>
  </si>
  <si>
    <t>Панель GL Я-фасад 
Крымский сланец</t>
  </si>
  <si>
    <t>шт</t>
  </si>
  <si>
    <t>-</t>
  </si>
  <si>
    <t>кв.м.</t>
  </si>
  <si>
    <t>Стартовый элемент для фасадной панели GL</t>
  </si>
  <si>
    <t>Расход 4 шт на 1,5 п.м. периметра дома</t>
  </si>
  <si>
    <t>Для панелей Я-фасад в качестве доборных элементов используется декоративная система GL Я-фасад</t>
  </si>
  <si>
    <t>КОЛЛЕКЦИИ</t>
  </si>
  <si>
    <t>КЛАССИКА</t>
  </si>
  <si>
    <t>АКРИЛ</t>
  </si>
  <si>
    <t>TUNDRA</t>
  </si>
  <si>
    <t>ЛАЙТ</t>
  </si>
  <si>
    <t>Стандартные цвета</t>
  </si>
  <si>
    <t>Премиум цвета</t>
  </si>
  <si>
    <t>коричневый</t>
  </si>
  <si>
    <t>Длина, м</t>
  </si>
  <si>
    <t>Полезная ширина, м</t>
  </si>
  <si>
    <t>Полезная площадь, кв.м</t>
  </si>
  <si>
    <t>Кол-во шт. в упаковке</t>
  </si>
  <si>
    <t>белый</t>
  </si>
  <si>
    <t>бежевый</t>
  </si>
  <si>
    <t>ванильный</t>
  </si>
  <si>
    <t>салатовый</t>
  </si>
  <si>
    <t>голубой</t>
  </si>
  <si>
    <t>кремовый</t>
  </si>
  <si>
    <t>персиковый</t>
  </si>
  <si>
    <t>серый</t>
  </si>
  <si>
    <r>
      <t xml:space="preserve">слоновая кость </t>
    </r>
    <r>
      <rPr>
        <b/>
        <sz val="10"/>
        <color indexed="10"/>
        <rFont val="Arial Cyr"/>
        <charset val="204"/>
      </rPr>
      <t>NEW</t>
    </r>
  </si>
  <si>
    <t>карамельный</t>
  </si>
  <si>
    <t>темно-бежевый</t>
  </si>
  <si>
    <r>
      <t xml:space="preserve">золотой песок
</t>
    </r>
    <r>
      <rPr>
        <b/>
        <sz val="10"/>
        <color indexed="10"/>
        <rFont val="Arial Cyr"/>
        <charset val="204"/>
      </rPr>
      <t>АКЦИЯ</t>
    </r>
  </si>
  <si>
    <t>темный дуб</t>
  </si>
  <si>
    <t xml:space="preserve">светлый дуб </t>
  </si>
  <si>
    <t>клен</t>
  </si>
  <si>
    <t>граб</t>
  </si>
  <si>
    <t>ясень</t>
  </si>
  <si>
    <r>
      <t xml:space="preserve">канадский дуб </t>
    </r>
    <r>
      <rPr>
        <b/>
        <sz val="10"/>
        <color indexed="10"/>
        <rFont val="Arial Cyr"/>
        <charset val="204"/>
      </rPr>
      <t>Распродажа</t>
    </r>
  </si>
  <si>
    <t>Сайдинг-панели</t>
  </si>
  <si>
    <t>Корабельный брус D4,4 GL</t>
  </si>
  <si>
    <t>Корабельный брус D4 GL Slim</t>
  </si>
  <si>
    <t>Корабельный брус D4 GL Удачный</t>
  </si>
  <si>
    <t xml:space="preserve">Корабельный брус D3,7 </t>
  </si>
  <si>
    <t xml:space="preserve">Блок-хаус D4,8 </t>
  </si>
  <si>
    <t>Вертикальный S6,3 GL</t>
  </si>
  <si>
    <t>Natural-Брус S7 GL</t>
  </si>
  <si>
    <t>Доборные элементы GL</t>
  </si>
  <si>
    <r>
      <t xml:space="preserve">Н-профиль соединительный </t>
    </r>
    <r>
      <rPr>
        <sz val="10"/>
        <color indexed="10"/>
        <rFont val="Arial Cyr"/>
        <charset val="204"/>
      </rPr>
      <t>*</t>
    </r>
  </si>
  <si>
    <r>
      <t xml:space="preserve">J-профиль </t>
    </r>
    <r>
      <rPr>
        <sz val="10"/>
        <color indexed="10"/>
        <rFont val="Arial Cyr"/>
        <charset val="204"/>
      </rPr>
      <t>*</t>
    </r>
  </si>
  <si>
    <r>
      <t xml:space="preserve">J-профиль Slim </t>
    </r>
    <r>
      <rPr>
        <sz val="10"/>
        <color indexed="10"/>
        <rFont val="Arial Cyr"/>
        <charset val="204"/>
      </rPr>
      <t>NEW</t>
    </r>
  </si>
  <si>
    <r>
      <t>Финишная планка</t>
    </r>
    <r>
      <rPr>
        <sz val="10"/>
        <color indexed="10"/>
        <rFont val="Arial Cyr"/>
        <charset val="204"/>
      </rPr>
      <t xml:space="preserve"> *</t>
    </r>
  </si>
  <si>
    <t>Стартовая планка</t>
  </si>
  <si>
    <t>Угол наружный</t>
  </si>
  <si>
    <r>
      <t xml:space="preserve">Угол наружный Slim </t>
    </r>
    <r>
      <rPr>
        <sz val="10"/>
        <color indexed="10"/>
        <rFont val="Arial Cyr"/>
        <charset val="204"/>
      </rPr>
      <t>NEW</t>
    </r>
  </si>
  <si>
    <r>
      <t xml:space="preserve">Угол внутренний </t>
    </r>
    <r>
      <rPr>
        <sz val="10"/>
        <color indexed="10"/>
        <rFont val="Arial Cyr"/>
        <charset val="204"/>
      </rPr>
      <t>*</t>
    </r>
  </si>
  <si>
    <r>
      <t xml:space="preserve">Переходник вертикального сайдинга </t>
    </r>
    <r>
      <rPr>
        <sz val="10"/>
        <color indexed="10"/>
        <rFont val="Arial Cyr"/>
        <charset val="204"/>
      </rPr>
      <t>АКЦИЯ</t>
    </r>
  </si>
  <si>
    <t>J-фаска (ветровая доска)</t>
  </si>
  <si>
    <t>J-профиль широкий (наличник)</t>
  </si>
  <si>
    <t>Околооконная планка</t>
  </si>
  <si>
    <t>Молдинг</t>
  </si>
  <si>
    <t>Сливная планка</t>
  </si>
  <si>
    <t>Декоративная система GL Я-фасад</t>
  </si>
  <si>
    <t>Планка (наличник) наборная для составного угла 3,0</t>
  </si>
  <si>
    <t>Планка приоконная широкая 7/8'' 3,0</t>
  </si>
  <si>
    <t>Планка радиусная для составного угла 3,0</t>
  </si>
  <si>
    <t>Профиль универсальный J 7/8'' 3,00</t>
  </si>
  <si>
    <t>ESTETIC</t>
  </si>
  <si>
    <t>КЛАССИКА SLIM</t>
  </si>
  <si>
    <t>Софиты</t>
  </si>
  <si>
    <t>Premium софит Т3 со скрытой перфорацией GL Estetic 3,0</t>
  </si>
  <si>
    <t>Софит T4 GL 
без перфорации, полностью перфорированный</t>
  </si>
  <si>
    <t>Софит T4 GL 
частично перфорированный</t>
  </si>
  <si>
    <t>Софит T3 GL 
без перфорации, частично перфорированный, полностью перфорированный</t>
  </si>
  <si>
    <t>Сопутствующие товары</t>
  </si>
  <si>
    <t>Описание</t>
  </si>
  <si>
    <t>Цена , руб.</t>
  </si>
  <si>
    <t>Пробойник насечек SL5</t>
  </si>
  <si>
    <t>Используется для нанесения насечек на край панели в месте соединения с доборными элементами (финишная планка, околооконная планка)</t>
  </si>
  <si>
    <t xml:space="preserve">Просекатель отверстий NHP1R </t>
  </si>
  <si>
    <t>Просекатель овальных отверстий в виниловых панелях</t>
  </si>
  <si>
    <t>Инструмент для демонтажа сайдинга SRT2</t>
  </si>
  <si>
    <t>Предназначен для демонтажа панелей винилового сайдинга без повреждения</t>
  </si>
  <si>
    <t>Степлер для скоб 4-14х0,7мм</t>
  </si>
  <si>
    <t>Для крепления различного вида пленок гидро- и пароизоляции к деревянной обрешетке</t>
  </si>
  <si>
    <t>Скобы для степлера 10х0,7мм, 12х0,7мм, 14х0,7мм (53 Тип) </t>
  </si>
  <si>
    <t>Используются в комплекте со степлером для крепления  различного вида обивочных материалов</t>
  </si>
  <si>
    <t>Optima A (пленка паропроницаемая ветро-влагозащита)</t>
  </si>
  <si>
    <t>Влагоизоляционная, ветрозащитная пленка плотностью 100 г/м².</t>
  </si>
  <si>
    <t>Брусок профилированный 50х40х3000 мм</t>
  </si>
  <si>
    <t>Используется для обрешетки и контробрешетки фасадов</t>
  </si>
  <si>
    <t>Вентиляционная решетка восьмиугольная 550мм Техоснастка</t>
  </si>
  <si>
    <t>Фронтонная решётка для вентиляции чердачных помещений</t>
  </si>
  <si>
    <t>Отдушина вентиляционная с фиксированными жалюзи Mid-America</t>
  </si>
  <si>
    <t>Обрамляют выходы устройств вентиляции помещений на фасадах</t>
  </si>
  <si>
    <t>Примечания</t>
  </si>
  <si>
    <t>* - скидка 10% от розничной цены на желтый цвет</t>
  </si>
  <si>
    <t>Сайдинг Тундра комплектуется акриловыми аксессуарами темный дуб</t>
  </si>
  <si>
    <r>
      <t xml:space="preserve">Цвета Винилового сайдинга: 
Стандартные - </t>
    </r>
    <r>
      <rPr>
        <sz val="10"/>
        <rFont val="Arial Cyr"/>
        <charset val="204"/>
      </rPr>
      <t xml:space="preserve">бежевый, ванильный, персиковый, салатовый, серый, белый, кремовый, голубой, слоновая кость    
</t>
    </r>
    <r>
      <rPr>
        <b/>
        <sz val="10"/>
        <rFont val="Arial Cyr"/>
        <charset val="204"/>
      </rPr>
      <t>Премиум</t>
    </r>
    <r>
      <rPr>
        <sz val="10"/>
        <rFont val="Arial Cyr"/>
        <charset val="204"/>
      </rPr>
      <t xml:space="preserve"> - карамельный, темно-бежевый, золотой песок</t>
    </r>
  </si>
  <si>
    <t>S, D и T - это количество переломов (Single, Double,Triple), цифры - ширина одного перелома в дюймах</t>
  </si>
  <si>
    <t>Предупреждаем Вас, что не допускается продажа на объект в одном заказе улучшенного сайдинга Grand Line и сайдинга предыдущей серии из-за разной степени сопротивления УФ-излучению.</t>
  </si>
  <si>
    <t xml:space="preserve">ВНИМАНИЕ! В случае, если доля доборных элементов в заказе составляет менее 40%,  цена панели сайдинга может быть увеличена до 40%. Если в заказе присутствует только сайдинг без каких либо доборных элементов, поставщик оставляет за собой право отказать в отгрузке заказа. </t>
  </si>
  <si>
    <t>Все цены указаны с НДС на складе завода Grand Line</t>
  </si>
  <si>
    <t>Ваша скидка</t>
  </si>
  <si>
    <t>Классика</t>
  </si>
  <si>
    <t>Акрил</t>
  </si>
  <si>
    <t>Tundra</t>
  </si>
  <si>
    <t>Лайт</t>
  </si>
  <si>
    <t>Сайдинг-панель D4,4 GL</t>
  </si>
  <si>
    <t>Сайдинг-панель D4 GL</t>
  </si>
  <si>
    <t>Сайдинг-панель D3,7 Лайт</t>
  </si>
  <si>
    <t>Сайдинг-панель Блок-хаус D4,8 GL</t>
  </si>
  <si>
    <t>Сайдинг-панель "Вертикальный" S6,3 GL</t>
  </si>
  <si>
    <t>Сайдинг-панель Natural-Брус S7 GL</t>
  </si>
  <si>
    <t>Софиты Estetic GL</t>
  </si>
  <si>
    <t>Софиты T4 GL</t>
  </si>
  <si>
    <t>Софиты T3 GL</t>
  </si>
  <si>
    <t>Декоративная фасадная система</t>
  </si>
  <si>
    <t>Доборные элементы</t>
  </si>
  <si>
    <t>Я-фасад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</si>
</sst>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12"/>
      <name val="Arial Cyr"/>
      <charset val="204"/>
    </font>
    <font>
      <b/>
      <sz val="10"/>
      <color indexed="12"/>
      <name val="Arial Cyr"/>
      <charset val="204"/>
    </font>
    <font>
      <b/>
      <sz val="14"/>
      <color indexed="10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13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wrapText="1"/>
    </xf>
    <xf numFmtId="14" fontId="4" fillId="0" borderId="2" xfId="0" applyNumberFormat="1" applyFont="1" applyBorder="1" applyAlignment="1"/>
    <xf numFmtId="0" fontId="2" fillId="0" borderId="13" xfId="0" applyFont="1" applyFill="1" applyBorder="1" applyAlignment="1">
      <alignment horizontal="center" vertical="center"/>
    </xf>
    <xf numFmtId="14" fontId="4" fillId="0" borderId="15" xfId="0" applyNumberFormat="1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/>
    <xf numFmtId="0" fontId="0" fillId="3" borderId="13" xfId="0" applyFill="1" applyBorder="1" applyAlignment="1"/>
    <xf numFmtId="0" fontId="10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2" fillId="0" borderId="4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8" fillId="0" borderId="1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13">
    <cellStyle name=" 1" xfId="2"/>
    <cellStyle name="Standaard 3" xfId="3"/>
    <cellStyle name="Гиперссылка 2" xfId="1"/>
    <cellStyle name="Обычный" xfId="0" builtinId="0"/>
    <cellStyle name="Обычный 11 3" xfId="4"/>
    <cellStyle name="Обычный 2" xfId="5"/>
    <cellStyle name="Обычный 3" xfId="6"/>
    <cellStyle name="Обычный 4" xfId="7"/>
    <cellStyle name="Обычный 5" xfId="8"/>
    <cellStyle name="Процентный 2" xfId="9"/>
    <cellStyle name="Финансовый 2" xfId="10"/>
    <cellStyle name="Финансовый 2 2" xfId="11"/>
    <cellStyle name="Финансовый 2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9</xdr:row>
      <xdr:rowOff>28575</xdr:rowOff>
    </xdr:from>
    <xdr:to>
      <xdr:col>4</xdr:col>
      <xdr:colOff>333375</xdr:colOff>
      <xdr:row>10</xdr:row>
      <xdr:rowOff>476250</xdr:rowOff>
    </xdr:to>
    <xdr:pic>
      <xdr:nvPicPr>
        <xdr:cNvPr id="3" name="Picture 18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1847850"/>
          <a:ext cx="445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03"/>
  <sheetViews>
    <sheetView tabSelected="1" zoomScale="70" zoomScaleNormal="70" workbookViewId="0">
      <selection activeCell="A7" sqref="A7:F8"/>
    </sheetView>
  </sheetViews>
  <sheetFormatPr defaultRowHeight="12.75" x14ac:dyDescent="0.2"/>
  <cols>
    <col min="1" max="1" width="56.28515625" style="2" customWidth="1"/>
    <col min="2" max="2" width="9.7109375" style="2" customWidth="1"/>
    <col min="3" max="3" width="16.140625" style="2" customWidth="1"/>
    <col min="4" max="4" width="14.42578125" style="2" customWidth="1"/>
    <col min="5" max="5" width="15.42578125" style="2" customWidth="1"/>
    <col min="6" max="6" width="11.85546875" style="2" customWidth="1"/>
    <col min="7" max="8" width="9.140625" style="2" customWidth="1"/>
    <col min="9" max="10" width="12" style="2" customWidth="1"/>
    <col min="11" max="11" width="9.140625" style="2" customWidth="1"/>
    <col min="12" max="12" width="11" style="2" customWidth="1"/>
    <col min="13" max="13" width="12.7109375" style="2" customWidth="1"/>
    <col min="14" max="14" width="9.140625" style="2" customWidth="1"/>
    <col min="15" max="15" width="13" style="2" customWidth="1"/>
    <col min="16" max="16" width="9.140625" style="2" customWidth="1"/>
    <col min="17" max="17" width="11.5703125" style="2" customWidth="1"/>
    <col min="18" max="18" width="14" style="2" customWidth="1"/>
    <col min="19" max="19" width="12.7109375" style="2" customWidth="1"/>
    <col min="20" max="24" width="9.140625" style="2" customWidth="1"/>
    <col min="25" max="25" width="11.7109375" style="2" customWidth="1"/>
    <col min="26" max="27" width="9.140625" style="2" customWidth="1"/>
    <col min="28" max="29" width="12.28515625" style="2" customWidth="1"/>
    <col min="30" max="256" width="9.140625" style="2"/>
    <col min="257" max="257" width="56.28515625" style="2" customWidth="1"/>
    <col min="258" max="258" width="9.7109375" style="2" customWidth="1"/>
    <col min="259" max="259" width="16.140625" style="2" customWidth="1"/>
    <col min="260" max="260" width="14.42578125" style="2" customWidth="1"/>
    <col min="261" max="261" width="15.42578125" style="2" customWidth="1"/>
    <col min="262" max="262" width="11.85546875" style="2" customWidth="1"/>
    <col min="263" max="264" width="9.140625" style="2" customWidth="1"/>
    <col min="265" max="266" width="12" style="2" customWidth="1"/>
    <col min="267" max="267" width="9.140625" style="2" customWidth="1"/>
    <col min="268" max="268" width="11" style="2" customWidth="1"/>
    <col min="269" max="269" width="12.7109375" style="2" customWidth="1"/>
    <col min="270" max="270" width="9.140625" style="2" customWidth="1"/>
    <col min="271" max="271" width="13" style="2" customWidth="1"/>
    <col min="272" max="272" width="9.140625" style="2" customWidth="1"/>
    <col min="273" max="273" width="11.5703125" style="2" customWidth="1"/>
    <col min="274" max="274" width="14" style="2" customWidth="1"/>
    <col min="275" max="275" width="12.7109375" style="2" customWidth="1"/>
    <col min="276" max="280" width="9.140625" style="2" customWidth="1"/>
    <col min="281" max="281" width="11.7109375" style="2" customWidth="1"/>
    <col min="282" max="283" width="9.140625" style="2" customWidth="1"/>
    <col min="284" max="285" width="12.28515625" style="2" customWidth="1"/>
    <col min="286" max="512" width="9.140625" style="2"/>
    <col min="513" max="513" width="56.28515625" style="2" customWidth="1"/>
    <col min="514" max="514" width="9.7109375" style="2" customWidth="1"/>
    <col min="515" max="515" width="16.140625" style="2" customWidth="1"/>
    <col min="516" max="516" width="14.42578125" style="2" customWidth="1"/>
    <col min="517" max="517" width="15.42578125" style="2" customWidth="1"/>
    <col min="518" max="518" width="11.85546875" style="2" customWidth="1"/>
    <col min="519" max="520" width="9.140625" style="2" customWidth="1"/>
    <col min="521" max="522" width="12" style="2" customWidth="1"/>
    <col min="523" max="523" width="9.140625" style="2" customWidth="1"/>
    <col min="524" max="524" width="11" style="2" customWidth="1"/>
    <col min="525" max="525" width="12.7109375" style="2" customWidth="1"/>
    <col min="526" max="526" width="9.140625" style="2" customWidth="1"/>
    <col min="527" max="527" width="13" style="2" customWidth="1"/>
    <col min="528" max="528" width="9.140625" style="2" customWidth="1"/>
    <col min="529" max="529" width="11.5703125" style="2" customWidth="1"/>
    <col min="530" max="530" width="14" style="2" customWidth="1"/>
    <col min="531" max="531" width="12.7109375" style="2" customWidth="1"/>
    <col min="532" max="536" width="9.140625" style="2" customWidth="1"/>
    <col min="537" max="537" width="11.7109375" style="2" customWidth="1"/>
    <col min="538" max="539" width="9.140625" style="2" customWidth="1"/>
    <col min="540" max="541" width="12.28515625" style="2" customWidth="1"/>
    <col min="542" max="768" width="9.140625" style="2"/>
    <col min="769" max="769" width="56.28515625" style="2" customWidth="1"/>
    <col min="770" max="770" width="9.7109375" style="2" customWidth="1"/>
    <col min="771" max="771" width="16.140625" style="2" customWidth="1"/>
    <col min="772" max="772" width="14.42578125" style="2" customWidth="1"/>
    <col min="773" max="773" width="15.42578125" style="2" customWidth="1"/>
    <col min="774" max="774" width="11.85546875" style="2" customWidth="1"/>
    <col min="775" max="776" width="9.140625" style="2" customWidth="1"/>
    <col min="777" max="778" width="12" style="2" customWidth="1"/>
    <col min="779" max="779" width="9.140625" style="2" customWidth="1"/>
    <col min="780" max="780" width="11" style="2" customWidth="1"/>
    <col min="781" max="781" width="12.7109375" style="2" customWidth="1"/>
    <col min="782" max="782" width="9.140625" style="2" customWidth="1"/>
    <col min="783" max="783" width="13" style="2" customWidth="1"/>
    <col min="784" max="784" width="9.140625" style="2" customWidth="1"/>
    <col min="785" max="785" width="11.5703125" style="2" customWidth="1"/>
    <col min="786" max="786" width="14" style="2" customWidth="1"/>
    <col min="787" max="787" width="12.7109375" style="2" customWidth="1"/>
    <col min="788" max="792" width="9.140625" style="2" customWidth="1"/>
    <col min="793" max="793" width="11.7109375" style="2" customWidth="1"/>
    <col min="794" max="795" width="9.140625" style="2" customWidth="1"/>
    <col min="796" max="797" width="12.28515625" style="2" customWidth="1"/>
    <col min="798" max="1024" width="9.140625" style="2"/>
    <col min="1025" max="1025" width="56.28515625" style="2" customWidth="1"/>
    <col min="1026" max="1026" width="9.7109375" style="2" customWidth="1"/>
    <col min="1027" max="1027" width="16.140625" style="2" customWidth="1"/>
    <col min="1028" max="1028" width="14.42578125" style="2" customWidth="1"/>
    <col min="1029" max="1029" width="15.42578125" style="2" customWidth="1"/>
    <col min="1030" max="1030" width="11.85546875" style="2" customWidth="1"/>
    <col min="1031" max="1032" width="9.140625" style="2" customWidth="1"/>
    <col min="1033" max="1034" width="12" style="2" customWidth="1"/>
    <col min="1035" max="1035" width="9.140625" style="2" customWidth="1"/>
    <col min="1036" max="1036" width="11" style="2" customWidth="1"/>
    <col min="1037" max="1037" width="12.7109375" style="2" customWidth="1"/>
    <col min="1038" max="1038" width="9.140625" style="2" customWidth="1"/>
    <col min="1039" max="1039" width="13" style="2" customWidth="1"/>
    <col min="1040" max="1040" width="9.140625" style="2" customWidth="1"/>
    <col min="1041" max="1041" width="11.5703125" style="2" customWidth="1"/>
    <col min="1042" max="1042" width="14" style="2" customWidth="1"/>
    <col min="1043" max="1043" width="12.7109375" style="2" customWidth="1"/>
    <col min="1044" max="1048" width="9.140625" style="2" customWidth="1"/>
    <col min="1049" max="1049" width="11.7109375" style="2" customWidth="1"/>
    <col min="1050" max="1051" width="9.140625" style="2" customWidth="1"/>
    <col min="1052" max="1053" width="12.28515625" style="2" customWidth="1"/>
    <col min="1054" max="1280" width="9.140625" style="2"/>
    <col min="1281" max="1281" width="56.28515625" style="2" customWidth="1"/>
    <col min="1282" max="1282" width="9.7109375" style="2" customWidth="1"/>
    <col min="1283" max="1283" width="16.140625" style="2" customWidth="1"/>
    <col min="1284" max="1284" width="14.42578125" style="2" customWidth="1"/>
    <col min="1285" max="1285" width="15.42578125" style="2" customWidth="1"/>
    <col min="1286" max="1286" width="11.85546875" style="2" customWidth="1"/>
    <col min="1287" max="1288" width="9.140625" style="2" customWidth="1"/>
    <col min="1289" max="1290" width="12" style="2" customWidth="1"/>
    <col min="1291" max="1291" width="9.140625" style="2" customWidth="1"/>
    <col min="1292" max="1292" width="11" style="2" customWidth="1"/>
    <col min="1293" max="1293" width="12.7109375" style="2" customWidth="1"/>
    <col min="1294" max="1294" width="9.140625" style="2" customWidth="1"/>
    <col min="1295" max="1295" width="13" style="2" customWidth="1"/>
    <col min="1296" max="1296" width="9.140625" style="2" customWidth="1"/>
    <col min="1297" max="1297" width="11.5703125" style="2" customWidth="1"/>
    <col min="1298" max="1298" width="14" style="2" customWidth="1"/>
    <col min="1299" max="1299" width="12.7109375" style="2" customWidth="1"/>
    <col min="1300" max="1304" width="9.140625" style="2" customWidth="1"/>
    <col min="1305" max="1305" width="11.7109375" style="2" customWidth="1"/>
    <col min="1306" max="1307" width="9.140625" style="2" customWidth="1"/>
    <col min="1308" max="1309" width="12.28515625" style="2" customWidth="1"/>
    <col min="1310" max="1536" width="9.140625" style="2"/>
    <col min="1537" max="1537" width="56.28515625" style="2" customWidth="1"/>
    <col min="1538" max="1538" width="9.7109375" style="2" customWidth="1"/>
    <col min="1539" max="1539" width="16.140625" style="2" customWidth="1"/>
    <col min="1540" max="1540" width="14.42578125" style="2" customWidth="1"/>
    <col min="1541" max="1541" width="15.42578125" style="2" customWidth="1"/>
    <col min="1542" max="1542" width="11.85546875" style="2" customWidth="1"/>
    <col min="1543" max="1544" width="9.140625" style="2" customWidth="1"/>
    <col min="1545" max="1546" width="12" style="2" customWidth="1"/>
    <col min="1547" max="1547" width="9.140625" style="2" customWidth="1"/>
    <col min="1548" max="1548" width="11" style="2" customWidth="1"/>
    <col min="1549" max="1549" width="12.7109375" style="2" customWidth="1"/>
    <col min="1550" max="1550" width="9.140625" style="2" customWidth="1"/>
    <col min="1551" max="1551" width="13" style="2" customWidth="1"/>
    <col min="1552" max="1552" width="9.140625" style="2" customWidth="1"/>
    <col min="1553" max="1553" width="11.5703125" style="2" customWidth="1"/>
    <col min="1554" max="1554" width="14" style="2" customWidth="1"/>
    <col min="1555" max="1555" width="12.7109375" style="2" customWidth="1"/>
    <col min="1556" max="1560" width="9.140625" style="2" customWidth="1"/>
    <col min="1561" max="1561" width="11.7109375" style="2" customWidth="1"/>
    <col min="1562" max="1563" width="9.140625" style="2" customWidth="1"/>
    <col min="1564" max="1565" width="12.28515625" style="2" customWidth="1"/>
    <col min="1566" max="1792" width="9.140625" style="2"/>
    <col min="1793" max="1793" width="56.28515625" style="2" customWidth="1"/>
    <col min="1794" max="1794" width="9.7109375" style="2" customWidth="1"/>
    <col min="1795" max="1795" width="16.140625" style="2" customWidth="1"/>
    <col min="1796" max="1796" width="14.42578125" style="2" customWidth="1"/>
    <col min="1797" max="1797" width="15.42578125" style="2" customWidth="1"/>
    <col min="1798" max="1798" width="11.85546875" style="2" customWidth="1"/>
    <col min="1799" max="1800" width="9.140625" style="2" customWidth="1"/>
    <col min="1801" max="1802" width="12" style="2" customWidth="1"/>
    <col min="1803" max="1803" width="9.140625" style="2" customWidth="1"/>
    <col min="1804" max="1804" width="11" style="2" customWidth="1"/>
    <col min="1805" max="1805" width="12.7109375" style="2" customWidth="1"/>
    <col min="1806" max="1806" width="9.140625" style="2" customWidth="1"/>
    <col min="1807" max="1807" width="13" style="2" customWidth="1"/>
    <col min="1808" max="1808" width="9.140625" style="2" customWidth="1"/>
    <col min="1809" max="1809" width="11.5703125" style="2" customWidth="1"/>
    <col min="1810" max="1810" width="14" style="2" customWidth="1"/>
    <col min="1811" max="1811" width="12.7109375" style="2" customWidth="1"/>
    <col min="1812" max="1816" width="9.140625" style="2" customWidth="1"/>
    <col min="1817" max="1817" width="11.7109375" style="2" customWidth="1"/>
    <col min="1818" max="1819" width="9.140625" style="2" customWidth="1"/>
    <col min="1820" max="1821" width="12.28515625" style="2" customWidth="1"/>
    <col min="1822" max="2048" width="9.140625" style="2"/>
    <col min="2049" max="2049" width="56.28515625" style="2" customWidth="1"/>
    <col min="2050" max="2050" width="9.7109375" style="2" customWidth="1"/>
    <col min="2051" max="2051" width="16.140625" style="2" customWidth="1"/>
    <col min="2052" max="2052" width="14.42578125" style="2" customWidth="1"/>
    <col min="2053" max="2053" width="15.42578125" style="2" customWidth="1"/>
    <col min="2054" max="2054" width="11.85546875" style="2" customWidth="1"/>
    <col min="2055" max="2056" width="9.140625" style="2" customWidth="1"/>
    <col min="2057" max="2058" width="12" style="2" customWidth="1"/>
    <col min="2059" max="2059" width="9.140625" style="2" customWidth="1"/>
    <col min="2060" max="2060" width="11" style="2" customWidth="1"/>
    <col min="2061" max="2061" width="12.7109375" style="2" customWidth="1"/>
    <col min="2062" max="2062" width="9.140625" style="2" customWidth="1"/>
    <col min="2063" max="2063" width="13" style="2" customWidth="1"/>
    <col min="2064" max="2064" width="9.140625" style="2" customWidth="1"/>
    <col min="2065" max="2065" width="11.5703125" style="2" customWidth="1"/>
    <col min="2066" max="2066" width="14" style="2" customWidth="1"/>
    <col min="2067" max="2067" width="12.7109375" style="2" customWidth="1"/>
    <col min="2068" max="2072" width="9.140625" style="2" customWidth="1"/>
    <col min="2073" max="2073" width="11.7109375" style="2" customWidth="1"/>
    <col min="2074" max="2075" width="9.140625" style="2" customWidth="1"/>
    <col min="2076" max="2077" width="12.28515625" style="2" customWidth="1"/>
    <col min="2078" max="2304" width="9.140625" style="2"/>
    <col min="2305" max="2305" width="56.28515625" style="2" customWidth="1"/>
    <col min="2306" max="2306" width="9.7109375" style="2" customWidth="1"/>
    <col min="2307" max="2307" width="16.140625" style="2" customWidth="1"/>
    <col min="2308" max="2308" width="14.42578125" style="2" customWidth="1"/>
    <col min="2309" max="2309" width="15.42578125" style="2" customWidth="1"/>
    <col min="2310" max="2310" width="11.85546875" style="2" customWidth="1"/>
    <col min="2311" max="2312" width="9.140625" style="2" customWidth="1"/>
    <col min="2313" max="2314" width="12" style="2" customWidth="1"/>
    <col min="2315" max="2315" width="9.140625" style="2" customWidth="1"/>
    <col min="2316" max="2316" width="11" style="2" customWidth="1"/>
    <col min="2317" max="2317" width="12.7109375" style="2" customWidth="1"/>
    <col min="2318" max="2318" width="9.140625" style="2" customWidth="1"/>
    <col min="2319" max="2319" width="13" style="2" customWidth="1"/>
    <col min="2320" max="2320" width="9.140625" style="2" customWidth="1"/>
    <col min="2321" max="2321" width="11.5703125" style="2" customWidth="1"/>
    <col min="2322" max="2322" width="14" style="2" customWidth="1"/>
    <col min="2323" max="2323" width="12.7109375" style="2" customWidth="1"/>
    <col min="2324" max="2328" width="9.140625" style="2" customWidth="1"/>
    <col min="2329" max="2329" width="11.7109375" style="2" customWidth="1"/>
    <col min="2330" max="2331" width="9.140625" style="2" customWidth="1"/>
    <col min="2332" max="2333" width="12.28515625" style="2" customWidth="1"/>
    <col min="2334" max="2560" width="9.140625" style="2"/>
    <col min="2561" max="2561" width="56.28515625" style="2" customWidth="1"/>
    <col min="2562" max="2562" width="9.7109375" style="2" customWidth="1"/>
    <col min="2563" max="2563" width="16.140625" style="2" customWidth="1"/>
    <col min="2564" max="2564" width="14.42578125" style="2" customWidth="1"/>
    <col min="2565" max="2565" width="15.42578125" style="2" customWidth="1"/>
    <col min="2566" max="2566" width="11.85546875" style="2" customWidth="1"/>
    <col min="2567" max="2568" width="9.140625" style="2" customWidth="1"/>
    <col min="2569" max="2570" width="12" style="2" customWidth="1"/>
    <col min="2571" max="2571" width="9.140625" style="2" customWidth="1"/>
    <col min="2572" max="2572" width="11" style="2" customWidth="1"/>
    <col min="2573" max="2573" width="12.7109375" style="2" customWidth="1"/>
    <col min="2574" max="2574" width="9.140625" style="2" customWidth="1"/>
    <col min="2575" max="2575" width="13" style="2" customWidth="1"/>
    <col min="2576" max="2576" width="9.140625" style="2" customWidth="1"/>
    <col min="2577" max="2577" width="11.5703125" style="2" customWidth="1"/>
    <col min="2578" max="2578" width="14" style="2" customWidth="1"/>
    <col min="2579" max="2579" width="12.7109375" style="2" customWidth="1"/>
    <col min="2580" max="2584" width="9.140625" style="2" customWidth="1"/>
    <col min="2585" max="2585" width="11.7109375" style="2" customWidth="1"/>
    <col min="2586" max="2587" width="9.140625" style="2" customWidth="1"/>
    <col min="2588" max="2589" width="12.28515625" style="2" customWidth="1"/>
    <col min="2590" max="2816" width="9.140625" style="2"/>
    <col min="2817" max="2817" width="56.28515625" style="2" customWidth="1"/>
    <col min="2818" max="2818" width="9.7109375" style="2" customWidth="1"/>
    <col min="2819" max="2819" width="16.140625" style="2" customWidth="1"/>
    <col min="2820" max="2820" width="14.42578125" style="2" customWidth="1"/>
    <col min="2821" max="2821" width="15.42578125" style="2" customWidth="1"/>
    <col min="2822" max="2822" width="11.85546875" style="2" customWidth="1"/>
    <col min="2823" max="2824" width="9.140625" style="2" customWidth="1"/>
    <col min="2825" max="2826" width="12" style="2" customWidth="1"/>
    <col min="2827" max="2827" width="9.140625" style="2" customWidth="1"/>
    <col min="2828" max="2828" width="11" style="2" customWidth="1"/>
    <col min="2829" max="2829" width="12.7109375" style="2" customWidth="1"/>
    <col min="2830" max="2830" width="9.140625" style="2" customWidth="1"/>
    <col min="2831" max="2831" width="13" style="2" customWidth="1"/>
    <col min="2832" max="2832" width="9.140625" style="2" customWidth="1"/>
    <col min="2833" max="2833" width="11.5703125" style="2" customWidth="1"/>
    <col min="2834" max="2834" width="14" style="2" customWidth="1"/>
    <col min="2835" max="2835" width="12.7109375" style="2" customWidth="1"/>
    <col min="2836" max="2840" width="9.140625" style="2" customWidth="1"/>
    <col min="2841" max="2841" width="11.7109375" style="2" customWidth="1"/>
    <col min="2842" max="2843" width="9.140625" style="2" customWidth="1"/>
    <col min="2844" max="2845" width="12.28515625" style="2" customWidth="1"/>
    <col min="2846" max="3072" width="9.140625" style="2"/>
    <col min="3073" max="3073" width="56.28515625" style="2" customWidth="1"/>
    <col min="3074" max="3074" width="9.7109375" style="2" customWidth="1"/>
    <col min="3075" max="3075" width="16.140625" style="2" customWidth="1"/>
    <col min="3076" max="3076" width="14.42578125" style="2" customWidth="1"/>
    <col min="3077" max="3077" width="15.42578125" style="2" customWidth="1"/>
    <col min="3078" max="3078" width="11.85546875" style="2" customWidth="1"/>
    <col min="3079" max="3080" width="9.140625" style="2" customWidth="1"/>
    <col min="3081" max="3082" width="12" style="2" customWidth="1"/>
    <col min="3083" max="3083" width="9.140625" style="2" customWidth="1"/>
    <col min="3084" max="3084" width="11" style="2" customWidth="1"/>
    <col min="3085" max="3085" width="12.7109375" style="2" customWidth="1"/>
    <col min="3086" max="3086" width="9.140625" style="2" customWidth="1"/>
    <col min="3087" max="3087" width="13" style="2" customWidth="1"/>
    <col min="3088" max="3088" width="9.140625" style="2" customWidth="1"/>
    <col min="3089" max="3089" width="11.5703125" style="2" customWidth="1"/>
    <col min="3090" max="3090" width="14" style="2" customWidth="1"/>
    <col min="3091" max="3091" width="12.7109375" style="2" customWidth="1"/>
    <col min="3092" max="3096" width="9.140625" style="2" customWidth="1"/>
    <col min="3097" max="3097" width="11.7109375" style="2" customWidth="1"/>
    <col min="3098" max="3099" width="9.140625" style="2" customWidth="1"/>
    <col min="3100" max="3101" width="12.28515625" style="2" customWidth="1"/>
    <col min="3102" max="3328" width="9.140625" style="2"/>
    <col min="3329" max="3329" width="56.28515625" style="2" customWidth="1"/>
    <col min="3330" max="3330" width="9.7109375" style="2" customWidth="1"/>
    <col min="3331" max="3331" width="16.140625" style="2" customWidth="1"/>
    <col min="3332" max="3332" width="14.42578125" style="2" customWidth="1"/>
    <col min="3333" max="3333" width="15.42578125" style="2" customWidth="1"/>
    <col min="3334" max="3334" width="11.85546875" style="2" customWidth="1"/>
    <col min="3335" max="3336" width="9.140625" style="2" customWidth="1"/>
    <col min="3337" max="3338" width="12" style="2" customWidth="1"/>
    <col min="3339" max="3339" width="9.140625" style="2" customWidth="1"/>
    <col min="3340" max="3340" width="11" style="2" customWidth="1"/>
    <col min="3341" max="3341" width="12.7109375" style="2" customWidth="1"/>
    <col min="3342" max="3342" width="9.140625" style="2" customWidth="1"/>
    <col min="3343" max="3343" width="13" style="2" customWidth="1"/>
    <col min="3344" max="3344" width="9.140625" style="2" customWidth="1"/>
    <col min="3345" max="3345" width="11.5703125" style="2" customWidth="1"/>
    <col min="3346" max="3346" width="14" style="2" customWidth="1"/>
    <col min="3347" max="3347" width="12.7109375" style="2" customWidth="1"/>
    <col min="3348" max="3352" width="9.140625" style="2" customWidth="1"/>
    <col min="3353" max="3353" width="11.7109375" style="2" customWidth="1"/>
    <col min="3354" max="3355" width="9.140625" style="2" customWidth="1"/>
    <col min="3356" max="3357" width="12.28515625" style="2" customWidth="1"/>
    <col min="3358" max="3584" width="9.140625" style="2"/>
    <col min="3585" max="3585" width="56.28515625" style="2" customWidth="1"/>
    <col min="3586" max="3586" width="9.7109375" style="2" customWidth="1"/>
    <col min="3587" max="3587" width="16.140625" style="2" customWidth="1"/>
    <col min="3588" max="3588" width="14.42578125" style="2" customWidth="1"/>
    <col min="3589" max="3589" width="15.42578125" style="2" customWidth="1"/>
    <col min="3590" max="3590" width="11.85546875" style="2" customWidth="1"/>
    <col min="3591" max="3592" width="9.140625" style="2" customWidth="1"/>
    <col min="3593" max="3594" width="12" style="2" customWidth="1"/>
    <col min="3595" max="3595" width="9.140625" style="2" customWidth="1"/>
    <col min="3596" max="3596" width="11" style="2" customWidth="1"/>
    <col min="3597" max="3597" width="12.7109375" style="2" customWidth="1"/>
    <col min="3598" max="3598" width="9.140625" style="2" customWidth="1"/>
    <col min="3599" max="3599" width="13" style="2" customWidth="1"/>
    <col min="3600" max="3600" width="9.140625" style="2" customWidth="1"/>
    <col min="3601" max="3601" width="11.5703125" style="2" customWidth="1"/>
    <col min="3602" max="3602" width="14" style="2" customWidth="1"/>
    <col min="3603" max="3603" width="12.7109375" style="2" customWidth="1"/>
    <col min="3604" max="3608" width="9.140625" style="2" customWidth="1"/>
    <col min="3609" max="3609" width="11.7109375" style="2" customWidth="1"/>
    <col min="3610" max="3611" width="9.140625" style="2" customWidth="1"/>
    <col min="3612" max="3613" width="12.28515625" style="2" customWidth="1"/>
    <col min="3614" max="3840" width="9.140625" style="2"/>
    <col min="3841" max="3841" width="56.28515625" style="2" customWidth="1"/>
    <col min="3842" max="3842" width="9.7109375" style="2" customWidth="1"/>
    <col min="3843" max="3843" width="16.140625" style="2" customWidth="1"/>
    <col min="3844" max="3844" width="14.42578125" style="2" customWidth="1"/>
    <col min="3845" max="3845" width="15.42578125" style="2" customWidth="1"/>
    <col min="3846" max="3846" width="11.85546875" style="2" customWidth="1"/>
    <col min="3847" max="3848" width="9.140625" style="2" customWidth="1"/>
    <col min="3849" max="3850" width="12" style="2" customWidth="1"/>
    <col min="3851" max="3851" width="9.140625" style="2" customWidth="1"/>
    <col min="3852" max="3852" width="11" style="2" customWidth="1"/>
    <col min="3853" max="3853" width="12.7109375" style="2" customWidth="1"/>
    <col min="3854" max="3854" width="9.140625" style="2" customWidth="1"/>
    <col min="3855" max="3855" width="13" style="2" customWidth="1"/>
    <col min="3856" max="3856" width="9.140625" style="2" customWidth="1"/>
    <col min="3857" max="3857" width="11.5703125" style="2" customWidth="1"/>
    <col min="3858" max="3858" width="14" style="2" customWidth="1"/>
    <col min="3859" max="3859" width="12.7109375" style="2" customWidth="1"/>
    <col min="3860" max="3864" width="9.140625" style="2" customWidth="1"/>
    <col min="3865" max="3865" width="11.7109375" style="2" customWidth="1"/>
    <col min="3866" max="3867" width="9.140625" style="2" customWidth="1"/>
    <col min="3868" max="3869" width="12.28515625" style="2" customWidth="1"/>
    <col min="3870" max="4096" width="9.140625" style="2"/>
    <col min="4097" max="4097" width="56.28515625" style="2" customWidth="1"/>
    <col min="4098" max="4098" width="9.7109375" style="2" customWidth="1"/>
    <col min="4099" max="4099" width="16.140625" style="2" customWidth="1"/>
    <col min="4100" max="4100" width="14.42578125" style="2" customWidth="1"/>
    <col min="4101" max="4101" width="15.42578125" style="2" customWidth="1"/>
    <col min="4102" max="4102" width="11.85546875" style="2" customWidth="1"/>
    <col min="4103" max="4104" width="9.140625" style="2" customWidth="1"/>
    <col min="4105" max="4106" width="12" style="2" customWidth="1"/>
    <col min="4107" max="4107" width="9.140625" style="2" customWidth="1"/>
    <col min="4108" max="4108" width="11" style="2" customWidth="1"/>
    <col min="4109" max="4109" width="12.7109375" style="2" customWidth="1"/>
    <col min="4110" max="4110" width="9.140625" style="2" customWidth="1"/>
    <col min="4111" max="4111" width="13" style="2" customWidth="1"/>
    <col min="4112" max="4112" width="9.140625" style="2" customWidth="1"/>
    <col min="4113" max="4113" width="11.5703125" style="2" customWidth="1"/>
    <col min="4114" max="4114" width="14" style="2" customWidth="1"/>
    <col min="4115" max="4115" width="12.7109375" style="2" customWidth="1"/>
    <col min="4116" max="4120" width="9.140625" style="2" customWidth="1"/>
    <col min="4121" max="4121" width="11.7109375" style="2" customWidth="1"/>
    <col min="4122" max="4123" width="9.140625" style="2" customWidth="1"/>
    <col min="4124" max="4125" width="12.28515625" style="2" customWidth="1"/>
    <col min="4126" max="4352" width="9.140625" style="2"/>
    <col min="4353" max="4353" width="56.28515625" style="2" customWidth="1"/>
    <col min="4354" max="4354" width="9.7109375" style="2" customWidth="1"/>
    <col min="4355" max="4355" width="16.140625" style="2" customWidth="1"/>
    <col min="4356" max="4356" width="14.42578125" style="2" customWidth="1"/>
    <col min="4357" max="4357" width="15.42578125" style="2" customWidth="1"/>
    <col min="4358" max="4358" width="11.85546875" style="2" customWidth="1"/>
    <col min="4359" max="4360" width="9.140625" style="2" customWidth="1"/>
    <col min="4361" max="4362" width="12" style="2" customWidth="1"/>
    <col min="4363" max="4363" width="9.140625" style="2" customWidth="1"/>
    <col min="4364" max="4364" width="11" style="2" customWidth="1"/>
    <col min="4365" max="4365" width="12.7109375" style="2" customWidth="1"/>
    <col min="4366" max="4366" width="9.140625" style="2" customWidth="1"/>
    <col min="4367" max="4367" width="13" style="2" customWidth="1"/>
    <col min="4368" max="4368" width="9.140625" style="2" customWidth="1"/>
    <col min="4369" max="4369" width="11.5703125" style="2" customWidth="1"/>
    <col min="4370" max="4370" width="14" style="2" customWidth="1"/>
    <col min="4371" max="4371" width="12.7109375" style="2" customWidth="1"/>
    <col min="4372" max="4376" width="9.140625" style="2" customWidth="1"/>
    <col min="4377" max="4377" width="11.7109375" style="2" customWidth="1"/>
    <col min="4378" max="4379" width="9.140625" style="2" customWidth="1"/>
    <col min="4380" max="4381" width="12.28515625" style="2" customWidth="1"/>
    <col min="4382" max="4608" width="9.140625" style="2"/>
    <col min="4609" max="4609" width="56.28515625" style="2" customWidth="1"/>
    <col min="4610" max="4610" width="9.7109375" style="2" customWidth="1"/>
    <col min="4611" max="4611" width="16.140625" style="2" customWidth="1"/>
    <col min="4612" max="4612" width="14.42578125" style="2" customWidth="1"/>
    <col min="4613" max="4613" width="15.42578125" style="2" customWidth="1"/>
    <col min="4614" max="4614" width="11.85546875" style="2" customWidth="1"/>
    <col min="4615" max="4616" width="9.140625" style="2" customWidth="1"/>
    <col min="4617" max="4618" width="12" style="2" customWidth="1"/>
    <col min="4619" max="4619" width="9.140625" style="2" customWidth="1"/>
    <col min="4620" max="4620" width="11" style="2" customWidth="1"/>
    <col min="4621" max="4621" width="12.7109375" style="2" customWidth="1"/>
    <col min="4622" max="4622" width="9.140625" style="2" customWidth="1"/>
    <col min="4623" max="4623" width="13" style="2" customWidth="1"/>
    <col min="4624" max="4624" width="9.140625" style="2" customWidth="1"/>
    <col min="4625" max="4625" width="11.5703125" style="2" customWidth="1"/>
    <col min="4626" max="4626" width="14" style="2" customWidth="1"/>
    <col min="4627" max="4627" width="12.7109375" style="2" customWidth="1"/>
    <col min="4628" max="4632" width="9.140625" style="2" customWidth="1"/>
    <col min="4633" max="4633" width="11.7109375" style="2" customWidth="1"/>
    <col min="4634" max="4635" width="9.140625" style="2" customWidth="1"/>
    <col min="4636" max="4637" width="12.28515625" style="2" customWidth="1"/>
    <col min="4638" max="4864" width="9.140625" style="2"/>
    <col min="4865" max="4865" width="56.28515625" style="2" customWidth="1"/>
    <col min="4866" max="4866" width="9.7109375" style="2" customWidth="1"/>
    <col min="4867" max="4867" width="16.140625" style="2" customWidth="1"/>
    <col min="4868" max="4868" width="14.42578125" style="2" customWidth="1"/>
    <col min="4869" max="4869" width="15.42578125" style="2" customWidth="1"/>
    <col min="4870" max="4870" width="11.85546875" style="2" customWidth="1"/>
    <col min="4871" max="4872" width="9.140625" style="2" customWidth="1"/>
    <col min="4873" max="4874" width="12" style="2" customWidth="1"/>
    <col min="4875" max="4875" width="9.140625" style="2" customWidth="1"/>
    <col min="4876" max="4876" width="11" style="2" customWidth="1"/>
    <col min="4877" max="4877" width="12.7109375" style="2" customWidth="1"/>
    <col min="4878" max="4878" width="9.140625" style="2" customWidth="1"/>
    <col min="4879" max="4879" width="13" style="2" customWidth="1"/>
    <col min="4880" max="4880" width="9.140625" style="2" customWidth="1"/>
    <col min="4881" max="4881" width="11.5703125" style="2" customWidth="1"/>
    <col min="4882" max="4882" width="14" style="2" customWidth="1"/>
    <col min="4883" max="4883" width="12.7109375" style="2" customWidth="1"/>
    <col min="4884" max="4888" width="9.140625" style="2" customWidth="1"/>
    <col min="4889" max="4889" width="11.7109375" style="2" customWidth="1"/>
    <col min="4890" max="4891" width="9.140625" style="2" customWidth="1"/>
    <col min="4892" max="4893" width="12.28515625" style="2" customWidth="1"/>
    <col min="4894" max="5120" width="9.140625" style="2"/>
    <col min="5121" max="5121" width="56.28515625" style="2" customWidth="1"/>
    <col min="5122" max="5122" width="9.7109375" style="2" customWidth="1"/>
    <col min="5123" max="5123" width="16.140625" style="2" customWidth="1"/>
    <col min="5124" max="5124" width="14.42578125" style="2" customWidth="1"/>
    <col min="5125" max="5125" width="15.42578125" style="2" customWidth="1"/>
    <col min="5126" max="5126" width="11.85546875" style="2" customWidth="1"/>
    <col min="5127" max="5128" width="9.140625" style="2" customWidth="1"/>
    <col min="5129" max="5130" width="12" style="2" customWidth="1"/>
    <col min="5131" max="5131" width="9.140625" style="2" customWidth="1"/>
    <col min="5132" max="5132" width="11" style="2" customWidth="1"/>
    <col min="5133" max="5133" width="12.7109375" style="2" customWidth="1"/>
    <col min="5134" max="5134" width="9.140625" style="2" customWidth="1"/>
    <col min="5135" max="5135" width="13" style="2" customWidth="1"/>
    <col min="5136" max="5136" width="9.140625" style="2" customWidth="1"/>
    <col min="5137" max="5137" width="11.5703125" style="2" customWidth="1"/>
    <col min="5138" max="5138" width="14" style="2" customWidth="1"/>
    <col min="5139" max="5139" width="12.7109375" style="2" customWidth="1"/>
    <col min="5140" max="5144" width="9.140625" style="2" customWidth="1"/>
    <col min="5145" max="5145" width="11.7109375" style="2" customWidth="1"/>
    <col min="5146" max="5147" width="9.140625" style="2" customWidth="1"/>
    <col min="5148" max="5149" width="12.28515625" style="2" customWidth="1"/>
    <col min="5150" max="5376" width="9.140625" style="2"/>
    <col min="5377" max="5377" width="56.28515625" style="2" customWidth="1"/>
    <col min="5378" max="5378" width="9.7109375" style="2" customWidth="1"/>
    <col min="5379" max="5379" width="16.140625" style="2" customWidth="1"/>
    <col min="5380" max="5380" width="14.42578125" style="2" customWidth="1"/>
    <col min="5381" max="5381" width="15.42578125" style="2" customWidth="1"/>
    <col min="5382" max="5382" width="11.85546875" style="2" customWidth="1"/>
    <col min="5383" max="5384" width="9.140625" style="2" customWidth="1"/>
    <col min="5385" max="5386" width="12" style="2" customWidth="1"/>
    <col min="5387" max="5387" width="9.140625" style="2" customWidth="1"/>
    <col min="5388" max="5388" width="11" style="2" customWidth="1"/>
    <col min="5389" max="5389" width="12.7109375" style="2" customWidth="1"/>
    <col min="5390" max="5390" width="9.140625" style="2" customWidth="1"/>
    <col min="5391" max="5391" width="13" style="2" customWidth="1"/>
    <col min="5392" max="5392" width="9.140625" style="2" customWidth="1"/>
    <col min="5393" max="5393" width="11.5703125" style="2" customWidth="1"/>
    <col min="5394" max="5394" width="14" style="2" customWidth="1"/>
    <col min="5395" max="5395" width="12.7109375" style="2" customWidth="1"/>
    <col min="5396" max="5400" width="9.140625" style="2" customWidth="1"/>
    <col min="5401" max="5401" width="11.7109375" style="2" customWidth="1"/>
    <col min="5402" max="5403" width="9.140625" style="2" customWidth="1"/>
    <col min="5404" max="5405" width="12.28515625" style="2" customWidth="1"/>
    <col min="5406" max="5632" width="9.140625" style="2"/>
    <col min="5633" max="5633" width="56.28515625" style="2" customWidth="1"/>
    <col min="5634" max="5634" width="9.7109375" style="2" customWidth="1"/>
    <col min="5635" max="5635" width="16.140625" style="2" customWidth="1"/>
    <col min="5636" max="5636" width="14.42578125" style="2" customWidth="1"/>
    <col min="5637" max="5637" width="15.42578125" style="2" customWidth="1"/>
    <col min="5638" max="5638" width="11.85546875" style="2" customWidth="1"/>
    <col min="5639" max="5640" width="9.140625" style="2" customWidth="1"/>
    <col min="5641" max="5642" width="12" style="2" customWidth="1"/>
    <col min="5643" max="5643" width="9.140625" style="2" customWidth="1"/>
    <col min="5644" max="5644" width="11" style="2" customWidth="1"/>
    <col min="5645" max="5645" width="12.7109375" style="2" customWidth="1"/>
    <col min="5646" max="5646" width="9.140625" style="2" customWidth="1"/>
    <col min="5647" max="5647" width="13" style="2" customWidth="1"/>
    <col min="5648" max="5648" width="9.140625" style="2" customWidth="1"/>
    <col min="5649" max="5649" width="11.5703125" style="2" customWidth="1"/>
    <col min="5650" max="5650" width="14" style="2" customWidth="1"/>
    <col min="5651" max="5651" width="12.7109375" style="2" customWidth="1"/>
    <col min="5652" max="5656" width="9.140625" style="2" customWidth="1"/>
    <col min="5657" max="5657" width="11.7109375" style="2" customWidth="1"/>
    <col min="5658" max="5659" width="9.140625" style="2" customWidth="1"/>
    <col min="5660" max="5661" width="12.28515625" style="2" customWidth="1"/>
    <col min="5662" max="5888" width="9.140625" style="2"/>
    <col min="5889" max="5889" width="56.28515625" style="2" customWidth="1"/>
    <col min="5890" max="5890" width="9.7109375" style="2" customWidth="1"/>
    <col min="5891" max="5891" width="16.140625" style="2" customWidth="1"/>
    <col min="5892" max="5892" width="14.42578125" style="2" customWidth="1"/>
    <col min="5893" max="5893" width="15.42578125" style="2" customWidth="1"/>
    <col min="5894" max="5894" width="11.85546875" style="2" customWidth="1"/>
    <col min="5895" max="5896" width="9.140625" style="2" customWidth="1"/>
    <col min="5897" max="5898" width="12" style="2" customWidth="1"/>
    <col min="5899" max="5899" width="9.140625" style="2" customWidth="1"/>
    <col min="5900" max="5900" width="11" style="2" customWidth="1"/>
    <col min="5901" max="5901" width="12.7109375" style="2" customWidth="1"/>
    <col min="5902" max="5902" width="9.140625" style="2" customWidth="1"/>
    <col min="5903" max="5903" width="13" style="2" customWidth="1"/>
    <col min="5904" max="5904" width="9.140625" style="2" customWidth="1"/>
    <col min="5905" max="5905" width="11.5703125" style="2" customWidth="1"/>
    <col min="5906" max="5906" width="14" style="2" customWidth="1"/>
    <col min="5907" max="5907" width="12.7109375" style="2" customWidth="1"/>
    <col min="5908" max="5912" width="9.140625" style="2" customWidth="1"/>
    <col min="5913" max="5913" width="11.7109375" style="2" customWidth="1"/>
    <col min="5914" max="5915" width="9.140625" style="2" customWidth="1"/>
    <col min="5916" max="5917" width="12.28515625" style="2" customWidth="1"/>
    <col min="5918" max="6144" width="9.140625" style="2"/>
    <col min="6145" max="6145" width="56.28515625" style="2" customWidth="1"/>
    <col min="6146" max="6146" width="9.7109375" style="2" customWidth="1"/>
    <col min="6147" max="6147" width="16.140625" style="2" customWidth="1"/>
    <col min="6148" max="6148" width="14.42578125" style="2" customWidth="1"/>
    <col min="6149" max="6149" width="15.42578125" style="2" customWidth="1"/>
    <col min="6150" max="6150" width="11.85546875" style="2" customWidth="1"/>
    <col min="6151" max="6152" width="9.140625" style="2" customWidth="1"/>
    <col min="6153" max="6154" width="12" style="2" customWidth="1"/>
    <col min="6155" max="6155" width="9.140625" style="2" customWidth="1"/>
    <col min="6156" max="6156" width="11" style="2" customWidth="1"/>
    <col min="6157" max="6157" width="12.7109375" style="2" customWidth="1"/>
    <col min="6158" max="6158" width="9.140625" style="2" customWidth="1"/>
    <col min="6159" max="6159" width="13" style="2" customWidth="1"/>
    <col min="6160" max="6160" width="9.140625" style="2" customWidth="1"/>
    <col min="6161" max="6161" width="11.5703125" style="2" customWidth="1"/>
    <col min="6162" max="6162" width="14" style="2" customWidth="1"/>
    <col min="6163" max="6163" width="12.7109375" style="2" customWidth="1"/>
    <col min="6164" max="6168" width="9.140625" style="2" customWidth="1"/>
    <col min="6169" max="6169" width="11.7109375" style="2" customWidth="1"/>
    <col min="6170" max="6171" width="9.140625" style="2" customWidth="1"/>
    <col min="6172" max="6173" width="12.28515625" style="2" customWidth="1"/>
    <col min="6174" max="6400" width="9.140625" style="2"/>
    <col min="6401" max="6401" width="56.28515625" style="2" customWidth="1"/>
    <col min="6402" max="6402" width="9.7109375" style="2" customWidth="1"/>
    <col min="6403" max="6403" width="16.140625" style="2" customWidth="1"/>
    <col min="6404" max="6404" width="14.42578125" style="2" customWidth="1"/>
    <col min="6405" max="6405" width="15.42578125" style="2" customWidth="1"/>
    <col min="6406" max="6406" width="11.85546875" style="2" customWidth="1"/>
    <col min="6407" max="6408" width="9.140625" style="2" customWidth="1"/>
    <col min="6409" max="6410" width="12" style="2" customWidth="1"/>
    <col min="6411" max="6411" width="9.140625" style="2" customWidth="1"/>
    <col min="6412" max="6412" width="11" style="2" customWidth="1"/>
    <col min="6413" max="6413" width="12.7109375" style="2" customWidth="1"/>
    <col min="6414" max="6414" width="9.140625" style="2" customWidth="1"/>
    <col min="6415" max="6415" width="13" style="2" customWidth="1"/>
    <col min="6416" max="6416" width="9.140625" style="2" customWidth="1"/>
    <col min="6417" max="6417" width="11.5703125" style="2" customWidth="1"/>
    <col min="6418" max="6418" width="14" style="2" customWidth="1"/>
    <col min="6419" max="6419" width="12.7109375" style="2" customWidth="1"/>
    <col min="6420" max="6424" width="9.140625" style="2" customWidth="1"/>
    <col min="6425" max="6425" width="11.7109375" style="2" customWidth="1"/>
    <col min="6426" max="6427" width="9.140625" style="2" customWidth="1"/>
    <col min="6428" max="6429" width="12.28515625" style="2" customWidth="1"/>
    <col min="6430" max="6656" width="9.140625" style="2"/>
    <col min="6657" max="6657" width="56.28515625" style="2" customWidth="1"/>
    <col min="6658" max="6658" width="9.7109375" style="2" customWidth="1"/>
    <col min="6659" max="6659" width="16.140625" style="2" customWidth="1"/>
    <col min="6660" max="6660" width="14.42578125" style="2" customWidth="1"/>
    <col min="6661" max="6661" width="15.42578125" style="2" customWidth="1"/>
    <col min="6662" max="6662" width="11.85546875" style="2" customWidth="1"/>
    <col min="6663" max="6664" width="9.140625" style="2" customWidth="1"/>
    <col min="6665" max="6666" width="12" style="2" customWidth="1"/>
    <col min="6667" max="6667" width="9.140625" style="2" customWidth="1"/>
    <col min="6668" max="6668" width="11" style="2" customWidth="1"/>
    <col min="6669" max="6669" width="12.7109375" style="2" customWidth="1"/>
    <col min="6670" max="6670" width="9.140625" style="2" customWidth="1"/>
    <col min="6671" max="6671" width="13" style="2" customWidth="1"/>
    <col min="6672" max="6672" width="9.140625" style="2" customWidth="1"/>
    <col min="6673" max="6673" width="11.5703125" style="2" customWidth="1"/>
    <col min="6674" max="6674" width="14" style="2" customWidth="1"/>
    <col min="6675" max="6675" width="12.7109375" style="2" customWidth="1"/>
    <col min="6676" max="6680" width="9.140625" style="2" customWidth="1"/>
    <col min="6681" max="6681" width="11.7109375" style="2" customWidth="1"/>
    <col min="6682" max="6683" width="9.140625" style="2" customWidth="1"/>
    <col min="6684" max="6685" width="12.28515625" style="2" customWidth="1"/>
    <col min="6686" max="6912" width="9.140625" style="2"/>
    <col min="6913" max="6913" width="56.28515625" style="2" customWidth="1"/>
    <col min="6914" max="6914" width="9.7109375" style="2" customWidth="1"/>
    <col min="6915" max="6915" width="16.140625" style="2" customWidth="1"/>
    <col min="6916" max="6916" width="14.42578125" style="2" customWidth="1"/>
    <col min="6917" max="6917" width="15.42578125" style="2" customWidth="1"/>
    <col min="6918" max="6918" width="11.85546875" style="2" customWidth="1"/>
    <col min="6919" max="6920" width="9.140625" style="2" customWidth="1"/>
    <col min="6921" max="6922" width="12" style="2" customWidth="1"/>
    <col min="6923" max="6923" width="9.140625" style="2" customWidth="1"/>
    <col min="6924" max="6924" width="11" style="2" customWidth="1"/>
    <col min="6925" max="6925" width="12.7109375" style="2" customWidth="1"/>
    <col min="6926" max="6926" width="9.140625" style="2" customWidth="1"/>
    <col min="6927" max="6927" width="13" style="2" customWidth="1"/>
    <col min="6928" max="6928" width="9.140625" style="2" customWidth="1"/>
    <col min="6929" max="6929" width="11.5703125" style="2" customWidth="1"/>
    <col min="6930" max="6930" width="14" style="2" customWidth="1"/>
    <col min="6931" max="6931" width="12.7109375" style="2" customWidth="1"/>
    <col min="6932" max="6936" width="9.140625" style="2" customWidth="1"/>
    <col min="6937" max="6937" width="11.7109375" style="2" customWidth="1"/>
    <col min="6938" max="6939" width="9.140625" style="2" customWidth="1"/>
    <col min="6940" max="6941" width="12.28515625" style="2" customWidth="1"/>
    <col min="6942" max="7168" width="9.140625" style="2"/>
    <col min="7169" max="7169" width="56.28515625" style="2" customWidth="1"/>
    <col min="7170" max="7170" width="9.7109375" style="2" customWidth="1"/>
    <col min="7171" max="7171" width="16.140625" style="2" customWidth="1"/>
    <col min="7172" max="7172" width="14.42578125" style="2" customWidth="1"/>
    <col min="7173" max="7173" width="15.42578125" style="2" customWidth="1"/>
    <col min="7174" max="7174" width="11.85546875" style="2" customWidth="1"/>
    <col min="7175" max="7176" width="9.140625" style="2" customWidth="1"/>
    <col min="7177" max="7178" width="12" style="2" customWidth="1"/>
    <col min="7179" max="7179" width="9.140625" style="2" customWidth="1"/>
    <col min="7180" max="7180" width="11" style="2" customWidth="1"/>
    <col min="7181" max="7181" width="12.7109375" style="2" customWidth="1"/>
    <col min="7182" max="7182" width="9.140625" style="2" customWidth="1"/>
    <col min="7183" max="7183" width="13" style="2" customWidth="1"/>
    <col min="7184" max="7184" width="9.140625" style="2" customWidth="1"/>
    <col min="7185" max="7185" width="11.5703125" style="2" customWidth="1"/>
    <col min="7186" max="7186" width="14" style="2" customWidth="1"/>
    <col min="7187" max="7187" width="12.7109375" style="2" customWidth="1"/>
    <col min="7188" max="7192" width="9.140625" style="2" customWidth="1"/>
    <col min="7193" max="7193" width="11.7109375" style="2" customWidth="1"/>
    <col min="7194" max="7195" width="9.140625" style="2" customWidth="1"/>
    <col min="7196" max="7197" width="12.28515625" style="2" customWidth="1"/>
    <col min="7198" max="7424" width="9.140625" style="2"/>
    <col min="7425" max="7425" width="56.28515625" style="2" customWidth="1"/>
    <col min="7426" max="7426" width="9.7109375" style="2" customWidth="1"/>
    <col min="7427" max="7427" width="16.140625" style="2" customWidth="1"/>
    <col min="7428" max="7428" width="14.42578125" style="2" customWidth="1"/>
    <col min="7429" max="7429" width="15.42578125" style="2" customWidth="1"/>
    <col min="7430" max="7430" width="11.85546875" style="2" customWidth="1"/>
    <col min="7431" max="7432" width="9.140625" style="2" customWidth="1"/>
    <col min="7433" max="7434" width="12" style="2" customWidth="1"/>
    <col min="7435" max="7435" width="9.140625" style="2" customWidth="1"/>
    <col min="7436" max="7436" width="11" style="2" customWidth="1"/>
    <col min="7437" max="7437" width="12.7109375" style="2" customWidth="1"/>
    <col min="7438" max="7438" width="9.140625" style="2" customWidth="1"/>
    <col min="7439" max="7439" width="13" style="2" customWidth="1"/>
    <col min="7440" max="7440" width="9.140625" style="2" customWidth="1"/>
    <col min="7441" max="7441" width="11.5703125" style="2" customWidth="1"/>
    <col min="7442" max="7442" width="14" style="2" customWidth="1"/>
    <col min="7443" max="7443" width="12.7109375" style="2" customWidth="1"/>
    <col min="7444" max="7448" width="9.140625" style="2" customWidth="1"/>
    <col min="7449" max="7449" width="11.7109375" style="2" customWidth="1"/>
    <col min="7450" max="7451" width="9.140625" style="2" customWidth="1"/>
    <col min="7452" max="7453" width="12.28515625" style="2" customWidth="1"/>
    <col min="7454" max="7680" width="9.140625" style="2"/>
    <col min="7681" max="7681" width="56.28515625" style="2" customWidth="1"/>
    <col min="7682" max="7682" width="9.7109375" style="2" customWidth="1"/>
    <col min="7683" max="7683" width="16.140625" style="2" customWidth="1"/>
    <col min="7684" max="7684" width="14.42578125" style="2" customWidth="1"/>
    <col min="7685" max="7685" width="15.42578125" style="2" customWidth="1"/>
    <col min="7686" max="7686" width="11.85546875" style="2" customWidth="1"/>
    <col min="7687" max="7688" width="9.140625" style="2" customWidth="1"/>
    <col min="7689" max="7690" width="12" style="2" customWidth="1"/>
    <col min="7691" max="7691" width="9.140625" style="2" customWidth="1"/>
    <col min="7692" max="7692" width="11" style="2" customWidth="1"/>
    <col min="7693" max="7693" width="12.7109375" style="2" customWidth="1"/>
    <col min="7694" max="7694" width="9.140625" style="2" customWidth="1"/>
    <col min="7695" max="7695" width="13" style="2" customWidth="1"/>
    <col min="7696" max="7696" width="9.140625" style="2" customWidth="1"/>
    <col min="7697" max="7697" width="11.5703125" style="2" customWidth="1"/>
    <col min="7698" max="7698" width="14" style="2" customWidth="1"/>
    <col min="7699" max="7699" width="12.7109375" style="2" customWidth="1"/>
    <col min="7700" max="7704" width="9.140625" style="2" customWidth="1"/>
    <col min="7705" max="7705" width="11.7109375" style="2" customWidth="1"/>
    <col min="7706" max="7707" width="9.140625" style="2" customWidth="1"/>
    <col min="7708" max="7709" width="12.28515625" style="2" customWidth="1"/>
    <col min="7710" max="7936" width="9.140625" style="2"/>
    <col min="7937" max="7937" width="56.28515625" style="2" customWidth="1"/>
    <col min="7938" max="7938" width="9.7109375" style="2" customWidth="1"/>
    <col min="7939" max="7939" width="16.140625" style="2" customWidth="1"/>
    <col min="7940" max="7940" width="14.42578125" style="2" customWidth="1"/>
    <col min="7941" max="7941" width="15.42578125" style="2" customWidth="1"/>
    <col min="7942" max="7942" width="11.85546875" style="2" customWidth="1"/>
    <col min="7943" max="7944" width="9.140625" style="2" customWidth="1"/>
    <col min="7945" max="7946" width="12" style="2" customWidth="1"/>
    <col min="7947" max="7947" width="9.140625" style="2" customWidth="1"/>
    <col min="7948" max="7948" width="11" style="2" customWidth="1"/>
    <col min="7949" max="7949" width="12.7109375" style="2" customWidth="1"/>
    <col min="7950" max="7950" width="9.140625" style="2" customWidth="1"/>
    <col min="7951" max="7951" width="13" style="2" customWidth="1"/>
    <col min="7952" max="7952" width="9.140625" style="2" customWidth="1"/>
    <col min="7953" max="7953" width="11.5703125" style="2" customWidth="1"/>
    <col min="7954" max="7954" width="14" style="2" customWidth="1"/>
    <col min="7955" max="7955" width="12.7109375" style="2" customWidth="1"/>
    <col min="7956" max="7960" width="9.140625" style="2" customWidth="1"/>
    <col min="7961" max="7961" width="11.7109375" style="2" customWidth="1"/>
    <col min="7962" max="7963" width="9.140625" style="2" customWidth="1"/>
    <col min="7964" max="7965" width="12.28515625" style="2" customWidth="1"/>
    <col min="7966" max="8192" width="9.140625" style="2"/>
    <col min="8193" max="8193" width="56.28515625" style="2" customWidth="1"/>
    <col min="8194" max="8194" width="9.7109375" style="2" customWidth="1"/>
    <col min="8195" max="8195" width="16.140625" style="2" customWidth="1"/>
    <col min="8196" max="8196" width="14.42578125" style="2" customWidth="1"/>
    <col min="8197" max="8197" width="15.42578125" style="2" customWidth="1"/>
    <col min="8198" max="8198" width="11.85546875" style="2" customWidth="1"/>
    <col min="8199" max="8200" width="9.140625" style="2" customWidth="1"/>
    <col min="8201" max="8202" width="12" style="2" customWidth="1"/>
    <col min="8203" max="8203" width="9.140625" style="2" customWidth="1"/>
    <col min="8204" max="8204" width="11" style="2" customWidth="1"/>
    <col min="8205" max="8205" width="12.7109375" style="2" customWidth="1"/>
    <col min="8206" max="8206" width="9.140625" style="2" customWidth="1"/>
    <col min="8207" max="8207" width="13" style="2" customWidth="1"/>
    <col min="8208" max="8208" width="9.140625" style="2" customWidth="1"/>
    <col min="8209" max="8209" width="11.5703125" style="2" customWidth="1"/>
    <col min="8210" max="8210" width="14" style="2" customWidth="1"/>
    <col min="8211" max="8211" width="12.7109375" style="2" customWidth="1"/>
    <col min="8212" max="8216" width="9.140625" style="2" customWidth="1"/>
    <col min="8217" max="8217" width="11.7109375" style="2" customWidth="1"/>
    <col min="8218" max="8219" width="9.140625" style="2" customWidth="1"/>
    <col min="8220" max="8221" width="12.28515625" style="2" customWidth="1"/>
    <col min="8222" max="8448" width="9.140625" style="2"/>
    <col min="8449" max="8449" width="56.28515625" style="2" customWidth="1"/>
    <col min="8450" max="8450" width="9.7109375" style="2" customWidth="1"/>
    <col min="8451" max="8451" width="16.140625" style="2" customWidth="1"/>
    <col min="8452" max="8452" width="14.42578125" style="2" customWidth="1"/>
    <col min="8453" max="8453" width="15.42578125" style="2" customWidth="1"/>
    <col min="8454" max="8454" width="11.85546875" style="2" customWidth="1"/>
    <col min="8455" max="8456" width="9.140625" style="2" customWidth="1"/>
    <col min="8457" max="8458" width="12" style="2" customWidth="1"/>
    <col min="8459" max="8459" width="9.140625" style="2" customWidth="1"/>
    <col min="8460" max="8460" width="11" style="2" customWidth="1"/>
    <col min="8461" max="8461" width="12.7109375" style="2" customWidth="1"/>
    <col min="8462" max="8462" width="9.140625" style="2" customWidth="1"/>
    <col min="8463" max="8463" width="13" style="2" customWidth="1"/>
    <col min="8464" max="8464" width="9.140625" style="2" customWidth="1"/>
    <col min="8465" max="8465" width="11.5703125" style="2" customWidth="1"/>
    <col min="8466" max="8466" width="14" style="2" customWidth="1"/>
    <col min="8467" max="8467" width="12.7109375" style="2" customWidth="1"/>
    <col min="8468" max="8472" width="9.140625" style="2" customWidth="1"/>
    <col min="8473" max="8473" width="11.7109375" style="2" customWidth="1"/>
    <col min="8474" max="8475" width="9.140625" style="2" customWidth="1"/>
    <col min="8476" max="8477" width="12.28515625" style="2" customWidth="1"/>
    <col min="8478" max="8704" width="9.140625" style="2"/>
    <col min="8705" max="8705" width="56.28515625" style="2" customWidth="1"/>
    <col min="8706" max="8706" width="9.7109375" style="2" customWidth="1"/>
    <col min="8707" max="8707" width="16.140625" style="2" customWidth="1"/>
    <col min="8708" max="8708" width="14.42578125" style="2" customWidth="1"/>
    <col min="8709" max="8709" width="15.42578125" style="2" customWidth="1"/>
    <col min="8710" max="8710" width="11.85546875" style="2" customWidth="1"/>
    <col min="8711" max="8712" width="9.140625" style="2" customWidth="1"/>
    <col min="8713" max="8714" width="12" style="2" customWidth="1"/>
    <col min="8715" max="8715" width="9.140625" style="2" customWidth="1"/>
    <col min="8716" max="8716" width="11" style="2" customWidth="1"/>
    <col min="8717" max="8717" width="12.7109375" style="2" customWidth="1"/>
    <col min="8718" max="8718" width="9.140625" style="2" customWidth="1"/>
    <col min="8719" max="8719" width="13" style="2" customWidth="1"/>
    <col min="8720" max="8720" width="9.140625" style="2" customWidth="1"/>
    <col min="8721" max="8721" width="11.5703125" style="2" customWidth="1"/>
    <col min="8722" max="8722" width="14" style="2" customWidth="1"/>
    <col min="8723" max="8723" width="12.7109375" style="2" customWidth="1"/>
    <col min="8724" max="8728" width="9.140625" style="2" customWidth="1"/>
    <col min="8729" max="8729" width="11.7109375" style="2" customWidth="1"/>
    <col min="8730" max="8731" width="9.140625" style="2" customWidth="1"/>
    <col min="8732" max="8733" width="12.28515625" style="2" customWidth="1"/>
    <col min="8734" max="8960" width="9.140625" style="2"/>
    <col min="8961" max="8961" width="56.28515625" style="2" customWidth="1"/>
    <col min="8962" max="8962" width="9.7109375" style="2" customWidth="1"/>
    <col min="8963" max="8963" width="16.140625" style="2" customWidth="1"/>
    <col min="8964" max="8964" width="14.42578125" style="2" customWidth="1"/>
    <col min="8965" max="8965" width="15.42578125" style="2" customWidth="1"/>
    <col min="8966" max="8966" width="11.85546875" style="2" customWidth="1"/>
    <col min="8967" max="8968" width="9.140625" style="2" customWidth="1"/>
    <col min="8969" max="8970" width="12" style="2" customWidth="1"/>
    <col min="8971" max="8971" width="9.140625" style="2" customWidth="1"/>
    <col min="8972" max="8972" width="11" style="2" customWidth="1"/>
    <col min="8973" max="8973" width="12.7109375" style="2" customWidth="1"/>
    <col min="8974" max="8974" width="9.140625" style="2" customWidth="1"/>
    <col min="8975" max="8975" width="13" style="2" customWidth="1"/>
    <col min="8976" max="8976" width="9.140625" style="2" customWidth="1"/>
    <col min="8977" max="8977" width="11.5703125" style="2" customWidth="1"/>
    <col min="8978" max="8978" width="14" style="2" customWidth="1"/>
    <col min="8979" max="8979" width="12.7109375" style="2" customWidth="1"/>
    <col min="8980" max="8984" width="9.140625" style="2" customWidth="1"/>
    <col min="8985" max="8985" width="11.7109375" style="2" customWidth="1"/>
    <col min="8986" max="8987" width="9.140625" style="2" customWidth="1"/>
    <col min="8988" max="8989" width="12.28515625" style="2" customWidth="1"/>
    <col min="8990" max="9216" width="9.140625" style="2"/>
    <col min="9217" max="9217" width="56.28515625" style="2" customWidth="1"/>
    <col min="9218" max="9218" width="9.7109375" style="2" customWidth="1"/>
    <col min="9219" max="9219" width="16.140625" style="2" customWidth="1"/>
    <col min="9220" max="9220" width="14.42578125" style="2" customWidth="1"/>
    <col min="9221" max="9221" width="15.42578125" style="2" customWidth="1"/>
    <col min="9222" max="9222" width="11.85546875" style="2" customWidth="1"/>
    <col min="9223" max="9224" width="9.140625" style="2" customWidth="1"/>
    <col min="9225" max="9226" width="12" style="2" customWidth="1"/>
    <col min="9227" max="9227" width="9.140625" style="2" customWidth="1"/>
    <col min="9228" max="9228" width="11" style="2" customWidth="1"/>
    <col min="9229" max="9229" width="12.7109375" style="2" customWidth="1"/>
    <col min="9230" max="9230" width="9.140625" style="2" customWidth="1"/>
    <col min="9231" max="9231" width="13" style="2" customWidth="1"/>
    <col min="9232" max="9232" width="9.140625" style="2" customWidth="1"/>
    <col min="9233" max="9233" width="11.5703125" style="2" customWidth="1"/>
    <col min="9234" max="9234" width="14" style="2" customWidth="1"/>
    <col min="9235" max="9235" width="12.7109375" style="2" customWidth="1"/>
    <col min="9236" max="9240" width="9.140625" style="2" customWidth="1"/>
    <col min="9241" max="9241" width="11.7109375" style="2" customWidth="1"/>
    <col min="9242" max="9243" width="9.140625" style="2" customWidth="1"/>
    <col min="9244" max="9245" width="12.28515625" style="2" customWidth="1"/>
    <col min="9246" max="9472" width="9.140625" style="2"/>
    <col min="9473" max="9473" width="56.28515625" style="2" customWidth="1"/>
    <col min="9474" max="9474" width="9.7109375" style="2" customWidth="1"/>
    <col min="9475" max="9475" width="16.140625" style="2" customWidth="1"/>
    <col min="9476" max="9476" width="14.42578125" style="2" customWidth="1"/>
    <col min="9477" max="9477" width="15.42578125" style="2" customWidth="1"/>
    <col min="9478" max="9478" width="11.85546875" style="2" customWidth="1"/>
    <col min="9479" max="9480" width="9.140625" style="2" customWidth="1"/>
    <col min="9481" max="9482" width="12" style="2" customWidth="1"/>
    <col min="9483" max="9483" width="9.140625" style="2" customWidth="1"/>
    <col min="9484" max="9484" width="11" style="2" customWidth="1"/>
    <col min="9485" max="9485" width="12.7109375" style="2" customWidth="1"/>
    <col min="9486" max="9486" width="9.140625" style="2" customWidth="1"/>
    <col min="9487" max="9487" width="13" style="2" customWidth="1"/>
    <col min="9488" max="9488" width="9.140625" style="2" customWidth="1"/>
    <col min="9489" max="9489" width="11.5703125" style="2" customWidth="1"/>
    <col min="9490" max="9490" width="14" style="2" customWidth="1"/>
    <col min="9491" max="9491" width="12.7109375" style="2" customWidth="1"/>
    <col min="9492" max="9496" width="9.140625" style="2" customWidth="1"/>
    <col min="9497" max="9497" width="11.7109375" style="2" customWidth="1"/>
    <col min="9498" max="9499" width="9.140625" style="2" customWidth="1"/>
    <col min="9500" max="9501" width="12.28515625" style="2" customWidth="1"/>
    <col min="9502" max="9728" width="9.140625" style="2"/>
    <col min="9729" max="9729" width="56.28515625" style="2" customWidth="1"/>
    <col min="9730" max="9730" width="9.7109375" style="2" customWidth="1"/>
    <col min="9731" max="9731" width="16.140625" style="2" customWidth="1"/>
    <col min="9732" max="9732" width="14.42578125" style="2" customWidth="1"/>
    <col min="9733" max="9733" width="15.42578125" style="2" customWidth="1"/>
    <col min="9734" max="9734" width="11.85546875" style="2" customWidth="1"/>
    <col min="9735" max="9736" width="9.140625" style="2" customWidth="1"/>
    <col min="9737" max="9738" width="12" style="2" customWidth="1"/>
    <col min="9739" max="9739" width="9.140625" style="2" customWidth="1"/>
    <col min="9740" max="9740" width="11" style="2" customWidth="1"/>
    <col min="9741" max="9741" width="12.7109375" style="2" customWidth="1"/>
    <col min="9742" max="9742" width="9.140625" style="2" customWidth="1"/>
    <col min="9743" max="9743" width="13" style="2" customWidth="1"/>
    <col min="9744" max="9744" width="9.140625" style="2" customWidth="1"/>
    <col min="9745" max="9745" width="11.5703125" style="2" customWidth="1"/>
    <col min="9746" max="9746" width="14" style="2" customWidth="1"/>
    <col min="9747" max="9747" width="12.7109375" style="2" customWidth="1"/>
    <col min="9748" max="9752" width="9.140625" style="2" customWidth="1"/>
    <col min="9753" max="9753" width="11.7109375" style="2" customWidth="1"/>
    <col min="9754" max="9755" width="9.140625" style="2" customWidth="1"/>
    <col min="9756" max="9757" width="12.28515625" style="2" customWidth="1"/>
    <col min="9758" max="9984" width="9.140625" style="2"/>
    <col min="9985" max="9985" width="56.28515625" style="2" customWidth="1"/>
    <col min="9986" max="9986" width="9.7109375" style="2" customWidth="1"/>
    <col min="9987" max="9987" width="16.140625" style="2" customWidth="1"/>
    <col min="9988" max="9988" width="14.42578125" style="2" customWidth="1"/>
    <col min="9989" max="9989" width="15.42578125" style="2" customWidth="1"/>
    <col min="9990" max="9990" width="11.85546875" style="2" customWidth="1"/>
    <col min="9991" max="9992" width="9.140625" style="2" customWidth="1"/>
    <col min="9993" max="9994" width="12" style="2" customWidth="1"/>
    <col min="9995" max="9995" width="9.140625" style="2" customWidth="1"/>
    <col min="9996" max="9996" width="11" style="2" customWidth="1"/>
    <col min="9997" max="9997" width="12.7109375" style="2" customWidth="1"/>
    <col min="9998" max="9998" width="9.140625" style="2" customWidth="1"/>
    <col min="9999" max="9999" width="13" style="2" customWidth="1"/>
    <col min="10000" max="10000" width="9.140625" style="2" customWidth="1"/>
    <col min="10001" max="10001" width="11.5703125" style="2" customWidth="1"/>
    <col min="10002" max="10002" width="14" style="2" customWidth="1"/>
    <col min="10003" max="10003" width="12.7109375" style="2" customWidth="1"/>
    <col min="10004" max="10008" width="9.140625" style="2" customWidth="1"/>
    <col min="10009" max="10009" width="11.7109375" style="2" customWidth="1"/>
    <col min="10010" max="10011" width="9.140625" style="2" customWidth="1"/>
    <col min="10012" max="10013" width="12.28515625" style="2" customWidth="1"/>
    <col min="10014" max="10240" width="9.140625" style="2"/>
    <col min="10241" max="10241" width="56.28515625" style="2" customWidth="1"/>
    <col min="10242" max="10242" width="9.7109375" style="2" customWidth="1"/>
    <col min="10243" max="10243" width="16.140625" style="2" customWidth="1"/>
    <col min="10244" max="10244" width="14.42578125" style="2" customWidth="1"/>
    <col min="10245" max="10245" width="15.42578125" style="2" customWidth="1"/>
    <col min="10246" max="10246" width="11.85546875" style="2" customWidth="1"/>
    <col min="10247" max="10248" width="9.140625" style="2" customWidth="1"/>
    <col min="10249" max="10250" width="12" style="2" customWidth="1"/>
    <col min="10251" max="10251" width="9.140625" style="2" customWidth="1"/>
    <col min="10252" max="10252" width="11" style="2" customWidth="1"/>
    <col min="10253" max="10253" width="12.7109375" style="2" customWidth="1"/>
    <col min="10254" max="10254" width="9.140625" style="2" customWidth="1"/>
    <col min="10255" max="10255" width="13" style="2" customWidth="1"/>
    <col min="10256" max="10256" width="9.140625" style="2" customWidth="1"/>
    <col min="10257" max="10257" width="11.5703125" style="2" customWidth="1"/>
    <col min="10258" max="10258" width="14" style="2" customWidth="1"/>
    <col min="10259" max="10259" width="12.7109375" style="2" customWidth="1"/>
    <col min="10260" max="10264" width="9.140625" style="2" customWidth="1"/>
    <col min="10265" max="10265" width="11.7109375" style="2" customWidth="1"/>
    <col min="10266" max="10267" width="9.140625" style="2" customWidth="1"/>
    <col min="10268" max="10269" width="12.28515625" style="2" customWidth="1"/>
    <col min="10270" max="10496" width="9.140625" style="2"/>
    <col min="10497" max="10497" width="56.28515625" style="2" customWidth="1"/>
    <col min="10498" max="10498" width="9.7109375" style="2" customWidth="1"/>
    <col min="10499" max="10499" width="16.140625" style="2" customWidth="1"/>
    <col min="10500" max="10500" width="14.42578125" style="2" customWidth="1"/>
    <col min="10501" max="10501" width="15.42578125" style="2" customWidth="1"/>
    <col min="10502" max="10502" width="11.85546875" style="2" customWidth="1"/>
    <col min="10503" max="10504" width="9.140625" style="2" customWidth="1"/>
    <col min="10505" max="10506" width="12" style="2" customWidth="1"/>
    <col min="10507" max="10507" width="9.140625" style="2" customWidth="1"/>
    <col min="10508" max="10508" width="11" style="2" customWidth="1"/>
    <col min="10509" max="10509" width="12.7109375" style="2" customWidth="1"/>
    <col min="10510" max="10510" width="9.140625" style="2" customWidth="1"/>
    <col min="10511" max="10511" width="13" style="2" customWidth="1"/>
    <col min="10512" max="10512" width="9.140625" style="2" customWidth="1"/>
    <col min="10513" max="10513" width="11.5703125" style="2" customWidth="1"/>
    <col min="10514" max="10514" width="14" style="2" customWidth="1"/>
    <col min="10515" max="10515" width="12.7109375" style="2" customWidth="1"/>
    <col min="10516" max="10520" width="9.140625" style="2" customWidth="1"/>
    <col min="10521" max="10521" width="11.7109375" style="2" customWidth="1"/>
    <col min="10522" max="10523" width="9.140625" style="2" customWidth="1"/>
    <col min="10524" max="10525" width="12.28515625" style="2" customWidth="1"/>
    <col min="10526" max="10752" width="9.140625" style="2"/>
    <col min="10753" max="10753" width="56.28515625" style="2" customWidth="1"/>
    <col min="10754" max="10754" width="9.7109375" style="2" customWidth="1"/>
    <col min="10755" max="10755" width="16.140625" style="2" customWidth="1"/>
    <col min="10756" max="10756" width="14.42578125" style="2" customWidth="1"/>
    <col min="10757" max="10757" width="15.42578125" style="2" customWidth="1"/>
    <col min="10758" max="10758" width="11.85546875" style="2" customWidth="1"/>
    <col min="10759" max="10760" width="9.140625" style="2" customWidth="1"/>
    <col min="10761" max="10762" width="12" style="2" customWidth="1"/>
    <col min="10763" max="10763" width="9.140625" style="2" customWidth="1"/>
    <col min="10764" max="10764" width="11" style="2" customWidth="1"/>
    <col min="10765" max="10765" width="12.7109375" style="2" customWidth="1"/>
    <col min="10766" max="10766" width="9.140625" style="2" customWidth="1"/>
    <col min="10767" max="10767" width="13" style="2" customWidth="1"/>
    <col min="10768" max="10768" width="9.140625" style="2" customWidth="1"/>
    <col min="10769" max="10769" width="11.5703125" style="2" customWidth="1"/>
    <col min="10770" max="10770" width="14" style="2" customWidth="1"/>
    <col min="10771" max="10771" width="12.7109375" style="2" customWidth="1"/>
    <col min="10772" max="10776" width="9.140625" style="2" customWidth="1"/>
    <col min="10777" max="10777" width="11.7109375" style="2" customWidth="1"/>
    <col min="10778" max="10779" width="9.140625" style="2" customWidth="1"/>
    <col min="10780" max="10781" width="12.28515625" style="2" customWidth="1"/>
    <col min="10782" max="11008" width="9.140625" style="2"/>
    <col min="11009" max="11009" width="56.28515625" style="2" customWidth="1"/>
    <col min="11010" max="11010" width="9.7109375" style="2" customWidth="1"/>
    <col min="11011" max="11011" width="16.140625" style="2" customWidth="1"/>
    <col min="11012" max="11012" width="14.42578125" style="2" customWidth="1"/>
    <col min="11013" max="11013" width="15.42578125" style="2" customWidth="1"/>
    <col min="11014" max="11014" width="11.85546875" style="2" customWidth="1"/>
    <col min="11015" max="11016" width="9.140625" style="2" customWidth="1"/>
    <col min="11017" max="11018" width="12" style="2" customWidth="1"/>
    <col min="11019" max="11019" width="9.140625" style="2" customWidth="1"/>
    <col min="11020" max="11020" width="11" style="2" customWidth="1"/>
    <col min="11021" max="11021" width="12.7109375" style="2" customWidth="1"/>
    <col min="11022" max="11022" width="9.140625" style="2" customWidth="1"/>
    <col min="11023" max="11023" width="13" style="2" customWidth="1"/>
    <col min="11024" max="11024" width="9.140625" style="2" customWidth="1"/>
    <col min="11025" max="11025" width="11.5703125" style="2" customWidth="1"/>
    <col min="11026" max="11026" width="14" style="2" customWidth="1"/>
    <col min="11027" max="11027" width="12.7109375" style="2" customWidth="1"/>
    <col min="11028" max="11032" width="9.140625" style="2" customWidth="1"/>
    <col min="11033" max="11033" width="11.7109375" style="2" customWidth="1"/>
    <col min="11034" max="11035" width="9.140625" style="2" customWidth="1"/>
    <col min="11036" max="11037" width="12.28515625" style="2" customWidth="1"/>
    <col min="11038" max="11264" width="9.140625" style="2"/>
    <col min="11265" max="11265" width="56.28515625" style="2" customWidth="1"/>
    <col min="11266" max="11266" width="9.7109375" style="2" customWidth="1"/>
    <col min="11267" max="11267" width="16.140625" style="2" customWidth="1"/>
    <col min="11268" max="11268" width="14.42578125" style="2" customWidth="1"/>
    <col min="11269" max="11269" width="15.42578125" style="2" customWidth="1"/>
    <col min="11270" max="11270" width="11.85546875" style="2" customWidth="1"/>
    <col min="11271" max="11272" width="9.140625" style="2" customWidth="1"/>
    <col min="11273" max="11274" width="12" style="2" customWidth="1"/>
    <col min="11275" max="11275" width="9.140625" style="2" customWidth="1"/>
    <col min="11276" max="11276" width="11" style="2" customWidth="1"/>
    <col min="11277" max="11277" width="12.7109375" style="2" customWidth="1"/>
    <col min="11278" max="11278" width="9.140625" style="2" customWidth="1"/>
    <col min="11279" max="11279" width="13" style="2" customWidth="1"/>
    <col min="11280" max="11280" width="9.140625" style="2" customWidth="1"/>
    <col min="11281" max="11281" width="11.5703125" style="2" customWidth="1"/>
    <col min="11282" max="11282" width="14" style="2" customWidth="1"/>
    <col min="11283" max="11283" width="12.7109375" style="2" customWidth="1"/>
    <col min="11284" max="11288" width="9.140625" style="2" customWidth="1"/>
    <col min="11289" max="11289" width="11.7109375" style="2" customWidth="1"/>
    <col min="11290" max="11291" width="9.140625" style="2" customWidth="1"/>
    <col min="11292" max="11293" width="12.28515625" style="2" customWidth="1"/>
    <col min="11294" max="11520" width="9.140625" style="2"/>
    <col min="11521" max="11521" width="56.28515625" style="2" customWidth="1"/>
    <col min="11522" max="11522" width="9.7109375" style="2" customWidth="1"/>
    <col min="11523" max="11523" width="16.140625" style="2" customWidth="1"/>
    <col min="11524" max="11524" width="14.42578125" style="2" customWidth="1"/>
    <col min="11525" max="11525" width="15.42578125" style="2" customWidth="1"/>
    <col min="11526" max="11526" width="11.85546875" style="2" customWidth="1"/>
    <col min="11527" max="11528" width="9.140625" style="2" customWidth="1"/>
    <col min="11529" max="11530" width="12" style="2" customWidth="1"/>
    <col min="11531" max="11531" width="9.140625" style="2" customWidth="1"/>
    <col min="11532" max="11532" width="11" style="2" customWidth="1"/>
    <col min="11533" max="11533" width="12.7109375" style="2" customWidth="1"/>
    <col min="11534" max="11534" width="9.140625" style="2" customWidth="1"/>
    <col min="11535" max="11535" width="13" style="2" customWidth="1"/>
    <col min="11536" max="11536" width="9.140625" style="2" customWidth="1"/>
    <col min="11537" max="11537" width="11.5703125" style="2" customWidth="1"/>
    <col min="11538" max="11538" width="14" style="2" customWidth="1"/>
    <col min="11539" max="11539" width="12.7109375" style="2" customWidth="1"/>
    <col min="11540" max="11544" width="9.140625" style="2" customWidth="1"/>
    <col min="11545" max="11545" width="11.7109375" style="2" customWidth="1"/>
    <col min="11546" max="11547" width="9.140625" style="2" customWidth="1"/>
    <col min="11548" max="11549" width="12.28515625" style="2" customWidth="1"/>
    <col min="11550" max="11776" width="9.140625" style="2"/>
    <col min="11777" max="11777" width="56.28515625" style="2" customWidth="1"/>
    <col min="11778" max="11778" width="9.7109375" style="2" customWidth="1"/>
    <col min="11779" max="11779" width="16.140625" style="2" customWidth="1"/>
    <col min="11780" max="11780" width="14.42578125" style="2" customWidth="1"/>
    <col min="11781" max="11781" width="15.42578125" style="2" customWidth="1"/>
    <col min="11782" max="11782" width="11.85546875" style="2" customWidth="1"/>
    <col min="11783" max="11784" width="9.140625" style="2" customWidth="1"/>
    <col min="11785" max="11786" width="12" style="2" customWidth="1"/>
    <col min="11787" max="11787" width="9.140625" style="2" customWidth="1"/>
    <col min="11788" max="11788" width="11" style="2" customWidth="1"/>
    <col min="11789" max="11789" width="12.7109375" style="2" customWidth="1"/>
    <col min="11790" max="11790" width="9.140625" style="2" customWidth="1"/>
    <col min="11791" max="11791" width="13" style="2" customWidth="1"/>
    <col min="11792" max="11792" width="9.140625" style="2" customWidth="1"/>
    <col min="11793" max="11793" width="11.5703125" style="2" customWidth="1"/>
    <col min="11794" max="11794" width="14" style="2" customWidth="1"/>
    <col min="11795" max="11795" width="12.7109375" style="2" customWidth="1"/>
    <col min="11796" max="11800" width="9.140625" style="2" customWidth="1"/>
    <col min="11801" max="11801" width="11.7109375" style="2" customWidth="1"/>
    <col min="11802" max="11803" width="9.140625" style="2" customWidth="1"/>
    <col min="11804" max="11805" width="12.28515625" style="2" customWidth="1"/>
    <col min="11806" max="12032" width="9.140625" style="2"/>
    <col min="12033" max="12033" width="56.28515625" style="2" customWidth="1"/>
    <col min="12034" max="12034" width="9.7109375" style="2" customWidth="1"/>
    <col min="12035" max="12035" width="16.140625" style="2" customWidth="1"/>
    <col min="12036" max="12036" width="14.42578125" style="2" customWidth="1"/>
    <col min="12037" max="12037" width="15.42578125" style="2" customWidth="1"/>
    <col min="12038" max="12038" width="11.85546875" style="2" customWidth="1"/>
    <col min="12039" max="12040" width="9.140625" style="2" customWidth="1"/>
    <col min="12041" max="12042" width="12" style="2" customWidth="1"/>
    <col min="12043" max="12043" width="9.140625" style="2" customWidth="1"/>
    <col min="12044" max="12044" width="11" style="2" customWidth="1"/>
    <col min="12045" max="12045" width="12.7109375" style="2" customWidth="1"/>
    <col min="12046" max="12046" width="9.140625" style="2" customWidth="1"/>
    <col min="12047" max="12047" width="13" style="2" customWidth="1"/>
    <col min="12048" max="12048" width="9.140625" style="2" customWidth="1"/>
    <col min="12049" max="12049" width="11.5703125" style="2" customWidth="1"/>
    <col min="12050" max="12050" width="14" style="2" customWidth="1"/>
    <col min="12051" max="12051" width="12.7109375" style="2" customWidth="1"/>
    <col min="12052" max="12056" width="9.140625" style="2" customWidth="1"/>
    <col min="12057" max="12057" width="11.7109375" style="2" customWidth="1"/>
    <col min="12058" max="12059" width="9.140625" style="2" customWidth="1"/>
    <col min="12060" max="12061" width="12.28515625" style="2" customWidth="1"/>
    <col min="12062" max="12288" width="9.140625" style="2"/>
    <col min="12289" max="12289" width="56.28515625" style="2" customWidth="1"/>
    <col min="12290" max="12290" width="9.7109375" style="2" customWidth="1"/>
    <col min="12291" max="12291" width="16.140625" style="2" customWidth="1"/>
    <col min="12292" max="12292" width="14.42578125" style="2" customWidth="1"/>
    <col min="12293" max="12293" width="15.42578125" style="2" customWidth="1"/>
    <col min="12294" max="12294" width="11.85546875" style="2" customWidth="1"/>
    <col min="12295" max="12296" width="9.140625" style="2" customWidth="1"/>
    <col min="12297" max="12298" width="12" style="2" customWidth="1"/>
    <col min="12299" max="12299" width="9.140625" style="2" customWidth="1"/>
    <col min="12300" max="12300" width="11" style="2" customWidth="1"/>
    <col min="12301" max="12301" width="12.7109375" style="2" customWidth="1"/>
    <col min="12302" max="12302" width="9.140625" style="2" customWidth="1"/>
    <col min="12303" max="12303" width="13" style="2" customWidth="1"/>
    <col min="12304" max="12304" width="9.140625" style="2" customWidth="1"/>
    <col min="12305" max="12305" width="11.5703125" style="2" customWidth="1"/>
    <col min="12306" max="12306" width="14" style="2" customWidth="1"/>
    <col min="12307" max="12307" width="12.7109375" style="2" customWidth="1"/>
    <col min="12308" max="12312" width="9.140625" style="2" customWidth="1"/>
    <col min="12313" max="12313" width="11.7109375" style="2" customWidth="1"/>
    <col min="12314" max="12315" width="9.140625" style="2" customWidth="1"/>
    <col min="12316" max="12317" width="12.28515625" style="2" customWidth="1"/>
    <col min="12318" max="12544" width="9.140625" style="2"/>
    <col min="12545" max="12545" width="56.28515625" style="2" customWidth="1"/>
    <col min="12546" max="12546" width="9.7109375" style="2" customWidth="1"/>
    <col min="12547" max="12547" width="16.140625" style="2" customWidth="1"/>
    <col min="12548" max="12548" width="14.42578125" style="2" customWidth="1"/>
    <col min="12549" max="12549" width="15.42578125" style="2" customWidth="1"/>
    <col min="12550" max="12550" width="11.85546875" style="2" customWidth="1"/>
    <col min="12551" max="12552" width="9.140625" style="2" customWidth="1"/>
    <col min="12553" max="12554" width="12" style="2" customWidth="1"/>
    <col min="12555" max="12555" width="9.140625" style="2" customWidth="1"/>
    <col min="12556" max="12556" width="11" style="2" customWidth="1"/>
    <col min="12557" max="12557" width="12.7109375" style="2" customWidth="1"/>
    <col min="12558" max="12558" width="9.140625" style="2" customWidth="1"/>
    <col min="12559" max="12559" width="13" style="2" customWidth="1"/>
    <col min="12560" max="12560" width="9.140625" style="2" customWidth="1"/>
    <col min="12561" max="12561" width="11.5703125" style="2" customWidth="1"/>
    <col min="12562" max="12562" width="14" style="2" customWidth="1"/>
    <col min="12563" max="12563" width="12.7109375" style="2" customWidth="1"/>
    <col min="12564" max="12568" width="9.140625" style="2" customWidth="1"/>
    <col min="12569" max="12569" width="11.7109375" style="2" customWidth="1"/>
    <col min="12570" max="12571" width="9.140625" style="2" customWidth="1"/>
    <col min="12572" max="12573" width="12.28515625" style="2" customWidth="1"/>
    <col min="12574" max="12800" width="9.140625" style="2"/>
    <col min="12801" max="12801" width="56.28515625" style="2" customWidth="1"/>
    <col min="12802" max="12802" width="9.7109375" style="2" customWidth="1"/>
    <col min="12803" max="12803" width="16.140625" style="2" customWidth="1"/>
    <col min="12804" max="12804" width="14.42578125" style="2" customWidth="1"/>
    <col min="12805" max="12805" width="15.42578125" style="2" customWidth="1"/>
    <col min="12806" max="12806" width="11.85546875" style="2" customWidth="1"/>
    <col min="12807" max="12808" width="9.140625" style="2" customWidth="1"/>
    <col min="12809" max="12810" width="12" style="2" customWidth="1"/>
    <col min="12811" max="12811" width="9.140625" style="2" customWidth="1"/>
    <col min="12812" max="12812" width="11" style="2" customWidth="1"/>
    <col min="12813" max="12813" width="12.7109375" style="2" customWidth="1"/>
    <col min="12814" max="12814" width="9.140625" style="2" customWidth="1"/>
    <col min="12815" max="12815" width="13" style="2" customWidth="1"/>
    <col min="12816" max="12816" width="9.140625" style="2" customWidth="1"/>
    <col min="12817" max="12817" width="11.5703125" style="2" customWidth="1"/>
    <col min="12818" max="12818" width="14" style="2" customWidth="1"/>
    <col min="12819" max="12819" width="12.7109375" style="2" customWidth="1"/>
    <col min="12820" max="12824" width="9.140625" style="2" customWidth="1"/>
    <col min="12825" max="12825" width="11.7109375" style="2" customWidth="1"/>
    <col min="12826" max="12827" width="9.140625" style="2" customWidth="1"/>
    <col min="12828" max="12829" width="12.28515625" style="2" customWidth="1"/>
    <col min="12830" max="13056" width="9.140625" style="2"/>
    <col min="13057" max="13057" width="56.28515625" style="2" customWidth="1"/>
    <col min="13058" max="13058" width="9.7109375" style="2" customWidth="1"/>
    <col min="13059" max="13059" width="16.140625" style="2" customWidth="1"/>
    <col min="13060" max="13060" width="14.42578125" style="2" customWidth="1"/>
    <col min="13061" max="13061" width="15.42578125" style="2" customWidth="1"/>
    <col min="13062" max="13062" width="11.85546875" style="2" customWidth="1"/>
    <col min="13063" max="13064" width="9.140625" style="2" customWidth="1"/>
    <col min="13065" max="13066" width="12" style="2" customWidth="1"/>
    <col min="13067" max="13067" width="9.140625" style="2" customWidth="1"/>
    <col min="13068" max="13068" width="11" style="2" customWidth="1"/>
    <col min="13069" max="13069" width="12.7109375" style="2" customWidth="1"/>
    <col min="13070" max="13070" width="9.140625" style="2" customWidth="1"/>
    <col min="13071" max="13071" width="13" style="2" customWidth="1"/>
    <col min="13072" max="13072" width="9.140625" style="2" customWidth="1"/>
    <col min="13073" max="13073" width="11.5703125" style="2" customWidth="1"/>
    <col min="13074" max="13074" width="14" style="2" customWidth="1"/>
    <col min="13075" max="13075" width="12.7109375" style="2" customWidth="1"/>
    <col min="13076" max="13080" width="9.140625" style="2" customWidth="1"/>
    <col min="13081" max="13081" width="11.7109375" style="2" customWidth="1"/>
    <col min="13082" max="13083" width="9.140625" style="2" customWidth="1"/>
    <col min="13084" max="13085" width="12.28515625" style="2" customWidth="1"/>
    <col min="13086" max="13312" width="9.140625" style="2"/>
    <col min="13313" max="13313" width="56.28515625" style="2" customWidth="1"/>
    <col min="13314" max="13314" width="9.7109375" style="2" customWidth="1"/>
    <col min="13315" max="13315" width="16.140625" style="2" customWidth="1"/>
    <col min="13316" max="13316" width="14.42578125" style="2" customWidth="1"/>
    <col min="13317" max="13317" width="15.42578125" style="2" customWidth="1"/>
    <col min="13318" max="13318" width="11.85546875" style="2" customWidth="1"/>
    <col min="13319" max="13320" width="9.140625" style="2" customWidth="1"/>
    <col min="13321" max="13322" width="12" style="2" customWidth="1"/>
    <col min="13323" max="13323" width="9.140625" style="2" customWidth="1"/>
    <col min="13324" max="13324" width="11" style="2" customWidth="1"/>
    <col min="13325" max="13325" width="12.7109375" style="2" customWidth="1"/>
    <col min="13326" max="13326" width="9.140625" style="2" customWidth="1"/>
    <col min="13327" max="13327" width="13" style="2" customWidth="1"/>
    <col min="13328" max="13328" width="9.140625" style="2" customWidth="1"/>
    <col min="13329" max="13329" width="11.5703125" style="2" customWidth="1"/>
    <col min="13330" max="13330" width="14" style="2" customWidth="1"/>
    <col min="13331" max="13331" width="12.7109375" style="2" customWidth="1"/>
    <col min="13332" max="13336" width="9.140625" style="2" customWidth="1"/>
    <col min="13337" max="13337" width="11.7109375" style="2" customWidth="1"/>
    <col min="13338" max="13339" width="9.140625" style="2" customWidth="1"/>
    <col min="13340" max="13341" width="12.28515625" style="2" customWidth="1"/>
    <col min="13342" max="13568" width="9.140625" style="2"/>
    <col min="13569" max="13569" width="56.28515625" style="2" customWidth="1"/>
    <col min="13570" max="13570" width="9.7109375" style="2" customWidth="1"/>
    <col min="13571" max="13571" width="16.140625" style="2" customWidth="1"/>
    <col min="13572" max="13572" width="14.42578125" style="2" customWidth="1"/>
    <col min="13573" max="13573" width="15.42578125" style="2" customWidth="1"/>
    <col min="13574" max="13574" width="11.85546875" style="2" customWidth="1"/>
    <col min="13575" max="13576" width="9.140625" style="2" customWidth="1"/>
    <col min="13577" max="13578" width="12" style="2" customWidth="1"/>
    <col min="13579" max="13579" width="9.140625" style="2" customWidth="1"/>
    <col min="13580" max="13580" width="11" style="2" customWidth="1"/>
    <col min="13581" max="13581" width="12.7109375" style="2" customWidth="1"/>
    <col min="13582" max="13582" width="9.140625" style="2" customWidth="1"/>
    <col min="13583" max="13583" width="13" style="2" customWidth="1"/>
    <col min="13584" max="13584" width="9.140625" style="2" customWidth="1"/>
    <col min="13585" max="13585" width="11.5703125" style="2" customWidth="1"/>
    <col min="13586" max="13586" width="14" style="2" customWidth="1"/>
    <col min="13587" max="13587" width="12.7109375" style="2" customWidth="1"/>
    <col min="13588" max="13592" width="9.140625" style="2" customWidth="1"/>
    <col min="13593" max="13593" width="11.7109375" style="2" customWidth="1"/>
    <col min="13594" max="13595" width="9.140625" style="2" customWidth="1"/>
    <col min="13596" max="13597" width="12.28515625" style="2" customWidth="1"/>
    <col min="13598" max="13824" width="9.140625" style="2"/>
    <col min="13825" max="13825" width="56.28515625" style="2" customWidth="1"/>
    <col min="13826" max="13826" width="9.7109375" style="2" customWidth="1"/>
    <col min="13827" max="13827" width="16.140625" style="2" customWidth="1"/>
    <col min="13828" max="13828" width="14.42578125" style="2" customWidth="1"/>
    <col min="13829" max="13829" width="15.42578125" style="2" customWidth="1"/>
    <col min="13830" max="13830" width="11.85546875" style="2" customWidth="1"/>
    <col min="13831" max="13832" width="9.140625" style="2" customWidth="1"/>
    <col min="13833" max="13834" width="12" style="2" customWidth="1"/>
    <col min="13835" max="13835" width="9.140625" style="2" customWidth="1"/>
    <col min="13836" max="13836" width="11" style="2" customWidth="1"/>
    <col min="13837" max="13837" width="12.7109375" style="2" customWidth="1"/>
    <col min="13838" max="13838" width="9.140625" style="2" customWidth="1"/>
    <col min="13839" max="13839" width="13" style="2" customWidth="1"/>
    <col min="13840" max="13840" width="9.140625" style="2" customWidth="1"/>
    <col min="13841" max="13841" width="11.5703125" style="2" customWidth="1"/>
    <col min="13842" max="13842" width="14" style="2" customWidth="1"/>
    <col min="13843" max="13843" width="12.7109375" style="2" customWidth="1"/>
    <col min="13844" max="13848" width="9.140625" style="2" customWidth="1"/>
    <col min="13849" max="13849" width="11.7109375" style="2" customWidth="1"/>
    <col min="13850" max="13851" width="9.140625" style="2" customWidth="1"/>
    <col min="13852" max="13853" width="12.28515625" style="2" customWidth="1"/>
    <col min="13854" max="14080" width="9.140625" style="2"/>
    <col min="14081" max="14081" width="56.28515625" style="2" customWidth="1"/>
    <col min="14082" max="14082" width="9.7109375" style="2" customWidth="1"/>
    <col min="14083" max="14083" width="16.140625" style="2" customWidth="1"/>
    <col min="14084" max="14084" width="14.42578125" style="2" customWidth="1"/>
    <col min="14085" max="14085" width="15.42578125" style="2" customWidth="1"/>
    <col min="14086" max="14086" width="11.85546875" style="2" customWidth="1"/>
    <col min="14087" max="14088" width="9.140625" style="2" customWidth="1"/>
    <col min="14089" max="14090" width="12" style="2" customWidth="1"/>
    <col min="14091" max="14091" width="9.140625" style="2" customWidth="1"/>
    <col min="14092" max="14092" width="11" style="2" customWidth="1"/>
    <col min="14093" max="14093" width="12.7109375" style="2" customWidth="1"/>
    <col min="14094" max="14094" width="9.140625" style="2" customWidth="1"/>
    <col min="14095" max="14095" width="13" style="2" customWidth="1"/>
    <col min="14096" max="14096" width="9.140625" style="2" customWidth="1"/>
    <col min="14097" max="14097" width="11.5703125" style="2" customWidth="1"/>
    <col min="14098" max="14098" width="14" style="2" customWidth="1"/>
    <col min="14099" max="14099" width="12.7109375" style="2" customWidth="1"/>
    <col min="14100" max="14104" width="9.140625" style="2" customWidth="1"/>
    <col min="14105" max="14105" width="11.7109375" style="2" customWidth="1"/>
    <col min="14106" max="14107" width="9.140625" style="2" customWidth="1"/>
    <col min="14108" max="14109" width="12.28515625" style="2" customWidth="1"/>
    <col min="14110" max="14336" width="9.140625" style="2"/>
    <col min="14337" max="14337" width="56.28515625" style="2" customWidth="1"/>
    <col min="14338" max="14338" width="9.7109375" style="2" customWidth="1"/>
    <col min="14339" max="14339" width="16.140625" style="2" customWidth="1"/>
    <col min="14340" max="14340" width="14.42578125" style="2" customWidth="1"/>
    <col min="14341" max="14341" width="15.42578125" style="2" customWidth="1"/>
    <col min="14342" max="14342" width="11.85546875" style="2" customWidth="1"/>
    <col min="14343" max="14344" width="9.140625" style="2" customWidth="1"/>
    <col min="14345" max="14346" width="12" style="2" customWidth="1"/>
    <col min="14347" max="14347" width="9.140625" style="2" customWidth="1"/>
    <col min="14348" max="14348" width="11" style="2" customWidth="1"/>
    <col min="14349" max="14349" width="12.7109375" style="2" customWidth="1"/>
    <col min="14350" max="14350" width="9.140625" style="2" customWidth="1"/>
    <col min="14351" max="14351" width="13" style="2" customWidth="1"/>
    <col min="14352" max="14352" width="9.140625" style="2" customWidth="1"/>
    <col min="14353" max="14353" width="11.5703125" style="2" customWidth="1"/>
    <col min="14354" max="14354" width="14" style="2" customWidth="1"/>
    <col min="14355" max="14355" width="12.7109375" style="2" customWidth="1"/>
    <col min="14356" max="14360" width="9.140625" style="2" customWidth="1"/>
    <col min="14361" max="14361" width="11.7109375" style="2" customWidth="1"/>
    <col min="14362" max="14363" width="9.140625" style="2" customWidth="1"/>
    <col min="14364" max="14365" width="12.28515625" style="2" customWidth="1"/>
    <col min="14366" max="14592" width="9.140625" style="2"/>
    <col min="14593" max="14593" width="56.28515625" style="2" customWidth="1"/>
    <col min="14594" max="14594" width="9.7109375" style="2" customWidth="1"/>
    <col min="14595" max="14595" width="16.140625" style="2" customWidth="1"/>
    <col min="14596" max="14596" width="14.42578125" style="2" customWidth="1"/>
    <col min="14597" max="14597" width="15.42578125" style="2" customWidth="1"/>
    <col min="14598" max="14598" width="11.85546875" style="2" customWidth="1"/>
    <col min="14599" max="14600" width="9.140625" style="2" customWidth="1"/>
    <col min="14601" max="14602" width="12" style="2" customWidth="1"/>
    <col min="14603" max="14603" width="9.140625" style="2" customWidth="1"/>
    <col min="14604" max="14604" width="11" style="2" customWidth="1"/>
    <col min="14605" max="14605" width="12.7109375" style="2" customWidth="1"/>
    <col min="14606" max="14606" width="9.140625" style="2" customWidth="1"/>
    <col min="14607" max="14607" width="13" style="2" customWidth="1"/>
    <col min="14608" max="14608" width="9.140625" style="2" customWidth="1"/>
    <col min="14609" max="14609" width="11.5703125" style="2" customWidth="1"/>
    <col min="14610" max="14610" width="14" style="2" customWidth="1"/>
    <col min="14611" max="14611" width="12.7109375" style="2" customWidth="1"/>
    <col min="14612" max="14616" width="9.140625" style="2" customWidth="1"/>
    <col min="14617" max="14617" width="11.7109375" style="2" customWidth="1"/>
    <col min="14618" max="14619" width="9.140625" style="2" customWidth="1"/>
    <col min="14620" max="14621" width="12.28515625" style="2" customWidth="1"/>
    <col min="14622" max="14848" width="9.140625" style="2"/>
    <col min="14849" max="14849" width="56.28515625" style="2" customWidth="1"/>
    <col min="14850" max="14850" width="9.7109375" style="2" customWidth="1"/>
    <col min="14851" max="14851" width="16.140625" style="2" customWidth="1"/>
    <col min="14852" max="14852" width="14.42578125" style="2" customWidth="1"/>
    <col min="14853" max="14853" width="15.42578125" style="2" customWidth="1"/>
    <col min="14854" max="14854" width="11.85546875" style="2" customWidth="1"/>
    <col min="14855" max="14856" width="9.140625" style="2" customWidth="1"/>
    <col min="14857" max="14858" width="12" style="2" customWidth="1"/>
    <col min="14859" max="14859" width="9.140625" style="2" customWidth="1"/>
    <col min="14860" max="14860" width="11" style="2" customWidth="1"/>
    <col min="14861" max="14861" width="12.7109375" style="2" customWidth="1"/>
    <col min="14862" max="14862" width="9.140625" style="2" customWidth="1"/>
    <col min="14863" max="14863" width="13" style="2" customWidth="1"/>
    <col min="14864" max="14864" width="9.140625" style="2" customWidth="1"/>
    <col min="14865" max="14865" width="11.5703125" style="2" customWidth="1"/>
    <col min="14866" max="14866" width="14" style="2" customWidth="1"/>
    <col min="14867" max="14867" width="12.7109375" style="2" customWidth="1"/>
    <col min="14868" max="14872" width="9.140625" style="2" customWidth="1"/>
    <col min="14873" max="14873" width="11.7109375" style="2" customWidth="1"/>
    <col min="14874" max="14875" width="9.140625" style="2" customWidth="1"/>
    <col min="14876" max="14877" width="12.28515625" style="2" customWidth="1"/>
    <col min="14878" max="15104" width="9.140625" style="2"/>
    <col min="15105" max="15105" width="56.28515625" style="2" customWidth="1"/>
    <col min="15106" max="15106" width="9.7109375" style="2" customWidth="1"/>
    <col min="15107" max="15107" width="16.140625" style="2" customWidth="1"/>
    <col min="15108" max="15108" width="14.42578125" style="2" customWidth="1"/>
    <col min="15109" max="15109" width="15.42578125" style="2" customWidth="1"/>
    <col min="15110" max="15110" width="11.85546875" style="2" customWidth="1"/>
    <col min="15111" max="15112" width="9.140625" style="2" customWidth="1"/>
    <col min="15113" max="15114" width="12" style="2" customWidth="1"/>
    <col min="15115" max="15115" width="9.140625" style="2" customWidth="1"/>
    <col min="15116" max="15116" width="11" style="2" customWidth="1"/>
    <col min="15117" max="15117" width="12.7109375" style="2" customWidth="1"/>
    <col min="15118" max="15118" width="9.140625" style="2" customWidth="1"/>
    <col min="15119" max="15119" width="13" style="2" customWidth="1"/>
    <col min="15120" max="15120" width="9.140625" style="2" customWidth="1"/>
    <col min="15121" max="15121" width="11.5703125" style="2" customWidth="1"/>
    <col min="15122" max="15122" width="14" style="2" customWidth="1"/>
    <col min="15123" max="15123" width="12.7109375" style="2" customWidth="1"/>
    <col min="15124" max="15128" width="9.140625" style="2" customWidth="1"/>
    <col min="15129" max="15129" width="11.7109375" style="2" customWidth="1"/>
    <col min="15130" max="15131" width="9.140625" style="2" customWidth="1"/>
    <col min="15132" max="15133" width="12.28515625" style="2" customWidth="1"/>
    <col min="15134" max="15360" width="9.140625" style="2"/>
    <col min="15361" max="15361" width="56.28515625" style="2" customWidth="1"/>
    <col min="15362" max="15362" width="9.7109375" style="2" customWidth="1"/>
    <col min="15363" max="15363" width="16.140625" style="2" customWidth="1"/>
    <col min="15364" max="15364" width="14.42578125" style="2" customWidth="1"/>
    <col min="15365" max="15365" width="15.42578125" style="2" customWidth="1"/>
    <col min="15366" max="15366" width="11.85546875" style="2" customWidth="1"/>
    <col min="15367" max="15368" width="9.140625" style="2" customWidth="1"/>
    <col min="15369" max="15370" width="12" style="2" customWidth="1"/>
    <col min="15371" max="15371" width="9.140625" style="2" customWidth="1"/>
    <col min="15372" max="15372" width="11" style="2" customWidth="1"/>
    <col min="15373" max="15373" width="12.7109375" style="2" customWidth="1"/>
    <col min="15374" max="15374" width="9.140625" style="2" customWidth="1"/>
    <col min="15375" max="15375" width="13" style="2" customWidth="1"/>
    <col min="15376" max="15376" width="9.140625" style="2" customWidth="1"/>
    <col min="15377" max="15377" width="11.5703125" style="2" customWidth="1"/>
    <col min="15378" max="15378" width="14" style="2" customWidth="1"/>
    <col min="15379" max="15379" width="12.7109375" style="2" customWidth="1"/>
    <col min="15380" max="15384" width="9.140625" style="2" customWidth="1"/>
    <col min="15385" max="15385" width="11.7109375" style="2" customWidth="1"/>
    <col min="15386" max="15387" width="9.140625" style="2" customWidth="1"/>
    <col min="15388" max="15389" width="12.28515625" style="2" customWidth="1"/>
    <col min="15390" max="15616" width="9.140625" style="2"/>
    <col min="15617" max="15617" width="56.28515625" style="2" customWidth="1"/>
    <col min="15618" max="15618" width="9.7109375" style="2" customWidth="1"/>
    <col min="15619" max="15619" width="16.140625" style="2" customWidth="1"/>
    <col min="15620" max="15620" width="14.42578125" style="2" customWidth="1"/>
    <col min="15621" max="15621" width="15.42578125" style="2" customWidth="1"/>
    <col min="15622" max="15622" width="11.85546875" style="2" customWidth="1"/>
    <col min="15623" max="15624" width="9.140625" style="2" customWidth="1"/>
    <col min="15625" max="15626" width="12" style="2" customWidth="1"/>
    <col min="15627" max="15627" width="9.140625" style="2" customWidth="1"/>
    <col min="15628" max="15628" width="11" style="2" customWidth="1"/>
    <col min="15629" max="15629" width="12.7109375" style="2" customWidth="1"/>
    <col min="15630" max="15630" width="9.140625" style="2" customWidth="1"/>
    <col min="15631" max="15631" width="13" style="2" customWidth="1"/>
    <col min="15632" max="15632" width="9.140625" style="2" customWidth="1"/>
    <col min="15633" max="15633" width="11.5703125" style="2" customWidth="1"/>
    <col min="15634" max="15634" width="14" style="2" customWidth="1"/>
    <col min="15635" max="15635" width="12.7109375" style="2" customWidth="1"/>
    <col min="15636" max="15640" width="9.140625" style="2" customWidth="1"/>
    <col min="15641" max="15641" width="11.7109375" style="2" customWidth="1"/>
    <col min="15642" max="15643" width="9.140625" style="2" customWidth="1"/>
    <col min="15644" max="15645" width="12.28515625" style="2" customWidth="1"/>
    <col min="15646" max="15872" width="9.140625" style="2"/>
    <col min="15873" max="15873" width="56.28515625" style="2" customWidth="1"/>
    <col min="15874" max="15874" width="9.7109375" style="2" customWidth="1"/>
    <col min="15875" max="15875" width="16.140625" style="2" customWidth="1"/>
    <col min="15876" max="15876" width="14.42578125" style="2" customWidth="1"/>
    <col min="15877" max="15877" width="15.42578125" style="2" customWidth="1"/>
    <col min="15878" max="15878" width="11.85546875" style="2" customWidth="1"/>
    <col min="15879" max="15880" width="9.140625" style="2" customWidth="1"/>
    <col min="15881" max="15882" width="12" style="2" customWidth="1"/>
    <col min="15883" max="15883" width="9.140625" style="2" customWidth="1"/>
    <col min="15884" max="15884" width="11" style="2" customWidth="1"/>
    <col min="15885" max="15885" width="12.7109375" style="2" customWidth="1"/>
    <col min="15886" max="15886" width="9.140625" style="2" customWidth="1"/>
    <col min="15887" max="15887" width="13" style="2" customWidth="1"/>
    <col min="15888" max="15888" width="9.140625" style="2" customWidth="1"/>
    <col min="15889" max="15889" width="11.5703125" style="2" customWidth="1"/>
    <col min="15890" max="15890" width="14" style="2" customWidth="1"/>
    <col min="15891" max="15891" width="12.7109375" style="2" customWidth="1"/>
    <col min="15892" max="15896" width="9.140625" style="2" customWidth="1"/>
    <col min="15897" max="15897" width="11.7109375" style="2" customWidth="1"/>
    <col min="15898" max="15899" width="9.140625" style="2" customWidth="1"/>
    <col min="15900" max="15901" width="12.28515625" style="2" customWidth="1"/>
    <col min="15902" max="16128" width="9.140625" style="2"/>
    <col min="16129" max="16129" width="56.28515625" style="2" customWidth="1"/>
    <col min="16130" max="16130" width="9.7109375" style="2" customWidth="1"/>
    <col min="16131" max="16131" width="16.140625" style="2" customWidth="1"/>
    <col min="16132" max="16132" width="14.42578125" style="2" customWidth="1"/>
    <col min="16133" max="16133" width="15.42578125" style="2" customWidth="1"/>
    <col min="16134" max="16134" width="11.85546875" style="2" customWidth="1"/>
    <col min="16135" max="16136" width="9.140625" style="2" customWidth="1"/>
    <col min="16137" max="16138" width="12" style="2" customWidth="1"/>
    <col min="16139" max="16139" width="9.140625" style="2" customWidth="1"/>
    <col min="16140" max="16140" width="11" style="2" customWidth="1"/>
    <col min="16141" max="16141" width="12.7109375" style="2" customWidth="1"/>
    <col min="16142" max="16142" width="9.140625" style="2" customWidth="1"/>
    <col min="16143" max="16143" width="13" style="2" customWidth="1"/>
    <col min="16144" max="16144" width="9.140625" style="2" customWidth="1"/>
    <col min="16145" max="16145" width="11.5703125" style="2" customWidth="1"/>
    <col min="16146" max="16146" width="14" style="2" customWidth="1"/>
    <col min="16147" max="16147" width="12.7109375" style="2" customWidth="1"/>
    <col min="16148" max="16152" width="9.140625" style="2" customWidth="1"/>
    <col min="16153" max="16153" width="11.7109375" style="2" customWidth="1"/>
    <col min="16154" max="16155" width="9.140625" style="2" customWidth="1"/>
    <col min="16156" max="16157" width="12.28515625" style="2" customWidth="1"/>
    <col min="16158" max="16384" width="9.140625" style="2"/>
  </cols>
  <sheetData>
    <row r="1" spans="1:29" x14ac:dyDescent="0.2">
      <c r="A1" s="116"/>
      <c r="B1" s="116"/>
      <c r="C1" s="116"/>
      <c r="D1" s="1"/>
    </row>
    <row r="2" spans="1:29" s="4" customFormat="1" x14ac:dyDescent="0.2">
      <c r="A2" s="3"/>
      <c r="B2" s="2"/>
      <c r="C2" s="2"/>
      <c r="D2" s="3"/>
      <c r="E2" s="2"/>
      <c r="F2" s="2"/>
      <c r="G2" s="2"/>
      <c r="H2" s="2"/>
      <c r="K2" s="2"/>
      <c r="L2" s="2"/>
      <c r="M2" s="2"/>
      <c r="N2" s="2"/>
      <c r="O2" s="2"/>
      <c r="Q2" s="5"/>
      <c r="R2" s="6"/>
      <c r="S2" s="2"/>
      <c r="T2" s="2"/>
      <c r="U2" s="2"/>
      <c r="V2" s="2"/>
      <c r="W2" s="2"/>
      <c r="X2" s="7"/>
      <c r="Y2" s="8"/>
    </row>
    <row r="3" spans="1:29" x14ac:dyDescent="0.2">
      <c r="A3" s="9"/>
      <c r="D3" s="10"/>
      <c r="X3" s="7"/>
      <c r="Y3" s="11"/>
    </row>
    <row r="4" spans="1:29" x14ac:dyDescent="0.2">
      <c r="A4" s="9"/>
    </row>
    <row r="5" spans="1:29" ht="17.25" customHeight="1" thickBot="1" x14ac:dyDescent="0.3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</row>
    <row r="6" spans="1:29" ht="15" customHeight="1" x14ac:dyDescent="0.2">
      <c r="A6" s="9"/>
      <c r="G6" s="12"/>
      <c r="H6" s="12"/>
      <c r="I6" s="12"/>
      <c r="J6" s="12"/>
      <c r="K6" s="12"/>
      <c r="L6" s="12"/>
      <c r="M6" s="12"/>
      <c r="N6" s="12"/>
      <c r="O6" s="12"/>
      <c r="V6" s="13"/>
      <c r="W6" s="13"/>
      <c r="X6" s="13"/>
      <c r="Y6" s="13"/>
      <c r="Z6" s="9" t="s">
        <v>1</v>
      </c>
      <c r="AA6" s="118">
        <v>43164</v>
      </c>
      <c r="AB6" s="118"/>
      <c r="AC6" s="118"/>
    </row>
    <row r="7" spans="1:29" ht="15" customHeight="1" x14ac:dyDescent="0.2">
      <c r="A7" s="119" t="s">
        <v>2</v>
      </c>
      <c r="B7" s="119"/>
      <c r="C7" s="119"/>
      <c r="D7" s="119"/>
      <c r="E7" s="119"/>
      <c r="F7" s="119"/>
      <c r="G7" s="81" t="s">
        <v>3</v>
      </c>
      <c r="H7" s="81"/>
      <c r="I7" s="81"/>
      <c r="J7" s="81"/>
      <c r="K7" s="81"/>
      <c r="L7" s="81"/>
      <c r="M7" s="81" t="s">
        <v>4</v>
      </c>
      <c r="N7" s="81"/>
      <c r="O7" s="81"/>
      <c r="P7" s="81"/>
      <c r="Q7" s="81"/>
      <c r="R7" s="81"/>
      <c r="S7" s="82" t="s">
        <v>5</v>
      </c>
      <c r="T7" s="82"/>
      <c r="U7" s="120" t="s">
        <v>6</v>
      </c>
      <c r="V7" s="122" t="s">
        <v>7</v>
      </c>
      <c r="W7" s="123"/>
      <c r="X7" s="126" t="s">
        <v>8</v>
      </c>
      <c r="Y7" s="126"/>
      <c r="Z7" s="126"/>
      <c r="AA7" s="126"/>
      <c r="AB7" s="126"/>
      <c r="AC7" s="126"/>
    </row>
    <row r="8" spans="1:29" ht="30" customHeight="1" x14ac:dyDescent="0.2">
      <c r="A8" s="119"/>
      <c r="B8" s="119"/>
      <c r="C8" s="119"/>
      <c r="D8" s="119"/>
      <c r="E8" s="119"/>
      <c r="F8" s="119"/>
      <c r="G8" s="81" t="s">
        <v>9</v>
      </c>
      <c r="H8" s="81"/>
      <c r="I8" s="81"/>
      <c r="J8" s="81" t="s">
        <v>10</v>
      </c>
      <c r="K8" s="81"/>
      <c r="L8" s="81"/>
      <c r="M8" s="81" t="s">
        <v>9</v>
      </c>
      <c r="N8" s="81"/>
      <c r="O8" s="81"/>
      <c r="P8" s="81" t="s">
        <v>10</v>
      </c>
      <c r="Q8" s="81"/>
      <c r="R8" s="81"/>
      <c r="S8" s="82"/>
      <c r="T8" s="82"/>
      <c r="U8" s="121"/>
      <c r="V8" s="124"/>
      <c r="W8" s="125"/>
      <c r="X8" s="113" t="s">
        <v>11</v>
      </c>
      <c r="Y8" s="114"/>
      <c r="Z8" s="114"/>
      <c r="AA8" s="115"/>
      <c r="AB8" s="81" t="s">
        <v>12</v>
      </c>
      <c r="AC8" s="81"/>
    </row>
    <row r="9" spans="1:29" ht="15" customHeight="1" x14ac:dyDescent="0.2">
      <c r="A9" s="43" t="s">
        <v>13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41.25" customHeight="1" x14ac:dyDescent="0.2">
      <c r="A10" s="107" t="s">
        <v>14</v>
      </c>
      <c r="B10" s="108"/>
      <c r="C10" s="108"/>
      <c r="D10" s="108"/>
      <c r="E10" s="108"/>
      <c r="F10" s="109"/>
      <c r="G10" s="103">
        <v>1550</v>
      </c>
      <c r="H10" s="103"/>
      <c r="I10" s="103"/>
      <c r="J10" s="103">
        <v>338</v>
      </c>
      <c r="K10" s="103"/>
      <c r="L10" s="103"/>
      <c r="M10" s="103">
        <v>1486</v>
      </c>
      <c r="N10" s="103"/>
      <c r="O10" s="103"/>
      <c r="P10" s="103">
        <v>307</v>
      </c>
      <c r="Q10" s="103"/>
      <c r="R10" s="103"/>
      <c r="S10" s="103">
        <v>0.45600000000000002</v>
      </c>
      <c r="T10" s="103"/>
      <c r="U10" s="14">
        <v>15</v>
      </c>
      <c r="V10" s="103" t="s">
        <v>15</v>
      </c>
      <c r="W10" s="103"/>
      <c r="X10" s="104">
        <f>ROUND(351*Belarus*(1-C103),2)</f>
        <v>351</v>
      </c>
      <c r="Y10" s="104"/>
      <c r="Z10" s="104"/>
      <c r="AA10" s="104"/>
      <c r="AB10" s="103" t="s">
        <v>16</v>
      </c>
      <c r="AC10" s="103"/>
    </row>
    <row r="11" spans="1:29" ht="41.25" customHeight="1" x14ac:dyDescent="0.2">
      <c r="A11" s="110"/>
      <c r="B11" s="111"/>
      <c r="C11" s="111"/>
      <c r="D11" s="111"/>
      <c r="E11" s="111"/>
      <c r="F11" s="11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4" t="s">
        <v>16</v>
      </c>
      <c r="V11" s="103" t="s">
        <v>17</v>
      </c>
      <c r="W11" s="103"/>
      <c r="X11" s="104">
        <f>X10/0.456</f>
        <v>769.73684210526312</v>
      </c>
      <c r="Y11" s="104"/>
      <c r="Z11" s="104"/>
      <c r="AA11" s="104"/>
      <c r="AB11" s="103" t="s">
        <v>16</v>
      </c>
      <c r="AC11" s="103"/>
    </row>
    <row r="12" spans="1:29" ht="29.25" customHeight="1" x14ac:dyDescent="0.2">
      <c r="A12" s="105" t="s">
        <v>18</v>
      </c>
      <c r="B12" s="105"/>
      <c r="C12" s="105"/>
      <c r="D12" s="105"/>
      <c r="E12" s="105"/>
      <c r="F12" s="105"/>
      <c r="G12" s="106" t="s">
        <v>19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4">
        <v>200</v>
      </c>
      <c r="V12" s="103" t="s">
        <v>15</v>
      </c>
      <c r="W12" s="103"/>
      <c r="X12" s="104" t="s">
        <v>16</v>
      </c>
      <c r="Y12" s="104"/>
      <c r="Z12" s="104"/>
      <c r="AA12" s="104"/>
      <c r="AB12" s="104">
        <f>ROUND(13*Belarus*(1-C103),2)</f>
        <v>13</v>
      </c>
      <c r="AC12" s="104"/>
    </row>
    <row r="13" spans="1:29" x14ac:dyDescent="0.2">
      <c r="A13" s="96" t="s">
        <v>20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ht="15" customHeight="1" x14ac:dyDescent="0.2">
      <c r="A14" s="9"/>
      <c r="G14" s="12"/>
      <c r="H14" s="12"/>
      <c r="I14" s="12"/>
      <c r="J14" s="12"/>
      <c r="K14" s="12"/>
      <c r="L14" s="12"/>
      <c r="M14" s="12"/>
      <c r="N14" s="12"/>
      <c r="O14" s="12"/>
      <c r="V14" s="15"/>
      <c r="W14" s="15"/>
      <c r="X14" s="15"/>
      <c r="Y14" s="15"/>
      <c r="Z14" s="15"/>
      <c r="AA14" s="15"/>
      <c r="AB14" s="15"/>
      <c r="AC14" s="15"/>
    </row>
    <row r="15" spans="1:29" ht="12.75" customHeight="1" x14ac:dyDescent="0.2">
      <c r="A15" s="85" t="s">
        <v>21</v>
      </c>
      <c r="B15" s="86"/>
      <c r="C15" s="86"/>
      <c r="D15" s="86"/>
      <c r="E15" s="86"/>
      <c r="F15" s="87"/>
      <c r="G15" s="81" t="s">
        <v>8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1:29" ht="15" customHeight="1" x14ac:dyDescent="0.2">
      <c r="A16" s="88"/>
      <c r="B16" s="89"/>
      <c r="C16" s="89"/>
      <c r="D16" s="89"/>
      <c r="E16" s="89"/>
      <c r="F16" s="90"/>
      <c r="G16" s="81" t="s">
        <v>22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 t="s">
        <v>23</v>
      </c>
      <c r="U16" s="81"/>
      <c r="V16" s="81" t="s">
        <v>24</v>
      </c>
      <c r="W16" s="100"/>
      <c r="X16" s="100"/>
      <c r="Y16" s="100"/>
      <c r="Z16" s="81" t="s">
        <v>25</v>
      </c>
      <c r="AA16" s="100"/>
      <c r="AB16" s="100"/>
      <c r="AC16" s="100"/>
    </row>
    <row r="17" spans="1:29" ht="12.75" customHeight="1" x14ac:dyDescent="0.2">
      <c r="A17" s="97"/>
      <c r="B17" s="98"/>
      <c r="C17" s="98"/>
      <c r="D17" s="98"/>
      <c r="E17" s="98"/>
      <c r="F17" s="99"/>
      <c r="G17" s="81" t="s">
        <v>26</v>
      </c>
      <c r="H17" s="81"/>
      <c r="I17" s="81"/>
      <c r="J17" s="81"/>
      <c r="K17" s="81"/>
      <c r="L17" s="81"/>
      <c r="M17" s="81"/>
      <c r="N17" s="81"/>
      <c r="O17" s="81"/>
      <c r="P17" s="81" t="s">
        <v>27</v>
      </c>
      <c r="Q17" s="81"/>
      <c r="R17" s="81"/>
      <c r="S17" s="101" t="s">
        <v>28</v>
      </c>
      <c r="T17" s="81"/>
      <c r="U17" s="81"/>
      <c r="V17" s="100"/>
      <c r="W17" s="100"/>
      <c r="X17" s="100"/>
      <c r="Y17" s="100"/>
      <c r="Z17" s="100"/>
      <c r="AA17" s="100"/>
      <c r="AB17" s="100"/>
      <c r="AC17" s="100"/>
    </row>
    <row r="18" spans="1:29" ht="51" customHeight="1" x14ac:dyDescent="0.2">
      <c r="A18" s="16" t="s">
        <v>2</v>
      </c>
      <c r="B18" s="16" t="s">
        <v>29</v>
      </c>
      <c r="C18" s="16" t="s">
        <v>30</v>
      </c>
      <c r="D18" s="16" t="s">
        <v>31</v>
      </c>
      <c r="E18" s="16" t="s">
        <v>32</v>
      </c>
      <c r="F18" s="16" t="s">
        <v>7</v>
      </c>
      <c r="G18" s="16" t="s">
        <v>33</v>
      </c>
      <c r="H18" s="16" t="s">
        <v>34</v>
      </c>
      <c r="I18" s="16" t="s">
        <v>35</v>
      </c>
      <c r="J18" s="16" t="s">
        <v>36</v>
      </c>
      <c r="K18" s="16" t="s">
        <v>37</v>
      </c>
      <c r="L18" s="16" t="s">
        <v>38</v>
      </c>
      <c r="M18" s="16" t="s">
        <v>39</v>
      </c>
      <c r="N18" s="16" t="s">
        <v>40</v>
      </c>
      <c r="O18" s="16" t="s">
        <v>41</v>
      </c>
      <c r="P18" s="16" t="s">
        <v>42</v>
      </c>
      <c r="Q18" s="16" t="s">
        <v>43</v>
      </c>
      <c r="R18" s="16" t="s">
        <v>44</v>
      </c>
      <c r="S18" s="102"/>
      <c r="T18" s="16" t="s">
        <v>45</v>
      </c>
      <c r="U18" s="16" t="s">
        <v>46</v>
      </c>
      <c r="V18" s="16" t="s">
        <v>47</v>
      </c>
      <c r="W18" s="16" t="s">
        <v>48</v>
      </c>
      <c r="X18" s="16" t="s">
        <v>49</v>
      </c>
      <c r="Y18" s="16" t="s">
        <v>50</v>
      </c>
      <c r="Z18" s="16" t="s">
        <v>33</v>
      </c>
      <c r="AA18" s="16" t="s">
        <v>34</v>
      </c>
      <c r="AB18" s="16" t="s">
        <v>35</v>
      </c>
      <c r="AC18" s="16" t="s">
        <v>36</v>
      </c>
    </row>
    <row r="19" spans="1:29" ht="15" x14ac:dyDescent="0.2">
      <c r="A19" s="79" t="s">
        <v>51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ht="18.75" customHeight="1" x14ac:dyDescent="0.2">
      <c r="A20" s="93" t="s">
        <v>52</v>
      </c>
      <c r="B20" s="72">
        <v>3.6</v>
      </c>
      <c r="C20" s="73">
        <v>0.224</v>
      </c>
      <c r="D20" s="74">
        <v>0.80640000000000001</v>
      </c>
      <c r="E20" s="94">
        <v>22</v>
      </c>
      <c r="F20" s="17" t="s">
        <v>15</v>
      </c>
      <c r="G20" s="18">
        <f>ROUND(167*Belarus*(1-C92),2)</f>
        <v>158.65</v>
      </c>
      <c r="H20" s="18">
        <f>ROUND(167*Belarus*(1-C92),2)</f>
        <v>158.65</v>
      </c>
      <c r="I20" s="18">
        <f>ROUND(167*Belarus*(1-C92),2)</f>
        <v>158.65</v>
      </c>
      <c r="J20" s="18">
        <f>ROUND(167*Belarus*(1-C92),2)</f>
        <v>158.65</v>
      </c>
      <c r="K20" s="18">
        <f>ROUND(167*Belarus*(1-C92),2)</f>
        <v>158.65</v>
      </c>
      <c r="L20" s="18">
        <f>ROUND(167*Belarus*(1-C92),2)</f>
        <v>158.65</v>
      </c>
      <c r="M20" s="18">
        <f>ROUND(167*Belarus*(1-C92),2)</f>
        <v>158.65</v>
      </c>
      <c r="N20" s="18">
        <f>ROUND(167*Belarus*(1-C92),2)</f>
        <v>158.65</v>
      </c>
      <c r="O20" s="18">
        <f>ROUND(150*Belarus*(1-C92),2)</f>
        <v>142.5</v>
      </c>
      <c r="P20" s="18">
        <f>ROUND(200*Belarus*(1-C92),2)</f>
        <v>190</v>
      </c>
      <c r="Q20" s="18">
        <f>ROUND(200*Belarus*(1-C92),2)</f>
        <v>190</v>
      </c>
      <c r="R20" s="18">
        <f>ROUND(167*Belarus*(1-C92),2)</f>
        <v>158.65</v>
      </c>
      <c r="S20" s="18" t="s">
        <v>16</v>
      </c>
      <c r="T20" s="19">
        <f>ROUND(223*Belarus*(1-D92),2)</f>
        <v>205.16</v>
      </c>
      <c r="U20" s="19">
        <f>ROUND(180*Belarus*(1-D92),2)</f>
        <v>165.6</v>
      </c>
      <c r="V20" s="18">
        <f>ROUND(263*Belarus*(1-E92),2)</f>
        <v>241.96</v>
      </c>
      <c r="W20" s="18">
        <f>ROUND(263*Belarus*(1-E92),2)</f>
        <v>241.96</v>
      </c>
      <c r="X20" s="18">
        <f>ROUND(263*Belarus*(1-E92),2)</f>
        <v>241.96</v>
      </c>
      <c r="Y20" s="18">
        <f>ROUND(219*Belarus*(1-E92),2)</f>
        <v>201.48</v>
      </c>
      <c r="Z20" s="19" t="s">
        <v>16</v>
      </c>
      <c r="AA20" s="19" t="s">
        <v>16</v>
      </c>
      <c r="AB20" s="19" t="s">
        <v>16</v>
      </c>
      <c r="AC20" s="19" t="s">
        <v>16</v>
      </c>
    </row>
    <row r="21" spans="1:29" ht="18.75" customHeight="1" x14ac:dyDescent="0.2">
      <c r="A21" s="93"/>
      <c r="B21" s="72"/>
      <c r="C21" s="73"/>
      <c r="D21" s="74"/>
      <c r="E21" s="94"/>
      <c r="F21" s="20" t="s">
        <v>17</v>
      </c>
      <c r="G21" s="21">
        <f>G20/0.8064</f>
        <v>196.73859126984127</v>
      </c>
      <c r="H21" s="21">
        <f t="shared" ref="H21:N21" si="0">H20/0.8064</f>
        <v>196.73859126984127</v>
      </c>
      <c r="I21" s="21">
        <f t="shared" si="0"/>
        <v>196.73859126984127</v>
      </c>
      <c r="J21" s="21">
        <f t="shared" si="0"/>
        <v>196.73859126984127</v>
      </c>
      <c r="K21" s="21">
        <f t="shared" si="0"/>
        <v>196.73859126984127</v>
      </c>
      <c r="L21" s="21">
        <f t="shared" si="0"/>
        <v>196.73859126984127</v>
      </c>
      <c r="M21" s="21">
        <f t="shared" si="0"/>
        <v>196.73859126984127</v>
      </c>
      <c r="N21" s="21">
        <f t="shared" si="0"/>
        <v>196.73859126984127</v>
      </c>
      <c r="O21" s="21">
        <f>O20/0.8064</f>
        <v>176.71130952380952</v>
      </c>
      <c r="P21" s="21">
        <f>P20/0.8064</f>
        <v>235.61507936507937</v>
      </c>
      <c r="Q21" s="21">
        <f>Q20/0.8064</f>
        <v>235.61507936507937</v>
      </c>
      <c r="R21" s="21">
        <f>R20/0.8064</f>
        <v>196.73859126984127</v>
      </c>
      <c r="S21" s="21" t="s">
        <v>16</v>
      </c>
      <c r="T21" s="22">
        <f t="shared" ref="T21:Y21" si="1">T20/0.8064</f>
        <v>254.41468253968253</v>
      </c>
      <c r="U21" s="22">
        <f t="shared" si="1"/>
        <v>205.35714285714286</v>
      </c>
      <c r="V21" s="21">
        <f t="shared" si="1"/>
        <v>300.04960317460319</v>
      </c>
      <c r="W21" s="21">
        <f t="shared" si="1"/>
        <v>300.04960317460319</v>
      </c>
      <c r="X21" s="21">
        <f t="shared" si="1"/>
        <v>300.04960317460319</v>
      </c>
      <c r="Y21" s="21">
        <f t="shared" si="1"/>
        <v>249.85119047619045</v>
      </c>
      <c r="Z21" s="22" t="s">
        <v>16</v>
      </c>
      <c r="AA21" s="22" t="s">
        <v>16</v>
      </c>
      <c r="AB21" s="22" t="s">
        <v>16</v>
      </c>
      <c r="AC21" s="22" t="s">
        <v>16</v>
      </c>
    </row>
    <row r="22" spans="1:29" ht="18.75" customHeight="1" x14ac:dyDescent="0.2">
      <c r="A22" s="93" t="s">
        <v>53</v>
      </c>
      <c r="B22" s="72">
        <v>3</v>
      </c>
      <c r="C22" s="73">
        <v>0.20300000000000001</v>
      </c>
      <c r="D22" s="74">
        <v>0.60899999999999999</v>
      </c>
      <c r="E22" s="94">
        <v>22</v>
      </c>
      <c r="F22" s="17" t="s">
        <v>15</v>
      </c>
      <c r="G22" s="18">
        <f>ROUND(117*Belarus*(1-C93),2)</f>
        <v>111.15</v>
      </c>
      <c r="H22" s="18">
        <f>ROUND(117*Belarus*(1-C93),2)</f>
        <v>111.15</v>
      </c>
      <c r="I22" s="18">
        <f>ROUND(117*Belarus*(1-C93),2)</f>
        <v>111.15</v>
      </c>
      <c r="J22" s="18">
        <f>ROUND(117*Belarus*(1-C93),2)</f>
        <v>111.15</v>
      </c>
      <c r="K22" s="18">
        <f>ROUND(117*Belarus*(1-C93),2)</f>
        <v>111.15</v>
      </c>
      <c r="L22" s="18">
        <f>ROUND(117*Belarus*(1-C93),2)</f>
        <v>111.15</v>
      </c>
      <c r="M22" s="18">
        <f>ROUND(117*Belarus*(1-C93),2)</f>
        <v>111.15</v>
      </c>
      <c r="N22" s="18">
        <f>ROUND(117*Belarus*(1-C93),2)</f>
        <v>111.15</v>
      </c>
      <c r="O22" s="18">
        <f>ROUND(105*Belarus*(1-C93),2)</f>
        <v>99.75</v>
      </c>
      <c r="P22" s="18">
        <f>ROUND(140*Belarus*(1-C93),2)</f>
        <v>133</v>
      </c>
      <c r="Q22" s="18">
        <f>ROUND(140*Belarus*(1-C93),2)</f>
        <v>133</v>
      </c>
      <c r="R22" s="18">
        <f>ROUND(117*Belarus*(1-C93),2)</f>
        <v>111.15</v>
      </c>
      <c r="S22" s="18" t="s">
        <v>16</v>
      </c>
      <c r="T22" s="19">
        <f>ROUND(170*Belarus*(1-D93),2)</f>
        <v>156.4</v>
      </c>
      <c r="U22" s="19">
        <f>ROUND(137*Belarus*(1-D93),2)</f>
        <v>126.04</v>
      </c>
      <c r="V22" s="18">
        <f>ROUND(201*Belarus*(1-E93),2)</f>
        <v>184.92</v>
      </c>
      <c r="W22" s="18">
        <f>ROUND(201*Belarus*(1-E93),2)</f>
        <v>184.92</v>
      </c>
      <c r="X22" s="18">
        <f>ROUND(201*Belarus*(1-E93),2)</f>
        <v>184.92</v>
      </c>
      <c r="Y22" s="18">
        <f>ROUND(168*Belarus*(1-E93),2)</f>
        <v>154.56</v>
      </c>
      <c r="Z22" s="19" t="s">
        <v>16</v>
      </c>
      <c r="AA22" s="19" t="s">
        <v>16</v>
      </c>
      <c r="AB22" s="19" t="s">
        <v>16</v>
      </c>
      <c r="AC22" s="19" t="s">
        <v>16</v>
      </c>
    </row>
    <row r="23" spans="1:29" ht="18.75" customHeight="1" x14ac:dyDescent="0.2">
      <c r="A23" s="93"/>
      <c r="B23" s="95"/>
      <c r="C23" s="73"/>
      <c r="D23" s="74"/>
      <c r="E23" s="94"/>
      <c r="F23" s="20" t="s">
        <v>17</v>
      </c>
      <c r="G23" s="21">
        <f>G22/0.609</f>
        <v>182.51231527093597</v>
      </c>
      <c r="H23" s="21">
        <f t="shared" ref="H23:Q23" si="2">H22/0.609</f>
        <v>182.51231527093597</v>
      </c>
      <c r="I23" s="21">
        <f>I22/0.609</f>
        <v>182.51231527093597</v>
      </c>
      <c r="J23" s="21">
        <f t="shared" si="2"/>
        <v>182.51231527093597</v>
      </c>
      <c r="K23" s="21">
        <f t="shared" si="2"/>
        <v>182.51231527093597</v>
      </c>
      <c r="L23" s="21">
        <f t="shared" si="2"/>
        <v>182.51231527093597</v>
      </c>
      <c r="M23" s="21">
        <f t="shared" si="2"/>
        <v>182.51231527093597</v>
      </c>
      <c r="N23" s="21">
        <f t="shared" si="2"/>
        <v>182.51231527093597</v>
      </c>
      <c r="O23" s="21">
        <f t="shared" si="2"/>
        <v>163.79310344827587</v>
      </c>
      <c r="P23" s="21">
        <f t="shared" si="2"/>
        <v>218.39080459770116</v>
      </c>
      <c r="Q23" s="21">
        <f t="shared" si="2"/>
        <v>218.39080459770116</v>
      </c>
      <c r="R23" s="21">
        <f>R22/0.609</f>
        <v>182.51231527093597</v>
      </c>
      <c r="S23" s="21" t="s">
        <v>16</v>
      </c>
      <c r="T23" s="22">
        <f t="shared" ref="T23:Y23" si="3">T22/0.609</f>
        <v>256.81444991789823</v>
      </c>
      <c r="U23" s="22">
        <f t="shared" si="3"/>
        <v>206.96223316912975</v>
      </c>
      <c r="V23" s="21">
        <f t="shared" si="3"/>
        <v>303.64532019704433</v>
      </c>
      <c r="W23" s="21">
        <f t="shared" si="3"/>
        <v>303.64532019704433</v>
      </c>
      <c r="X23" s="21">
        <f t="shared" si="3"/>
        <v>303.64532019704433</v>
      </c>
      <c r="Y23" s="21">
        <f t="shared" si="3"/>
        <v>253.79310344827587</v>
      </c>
      <c r="Z23" s="22" t="s">
        <v>16</v>
      </c>
      <c r="AA23" s="22" t="s">
        <v>16</v>
      </c>
      <c r="AB23" s="22" t="s">
        <v>16</v>
      </c>
      <c r="AC23" s="22" t="s">
        <v>16</v>
      </c>
    </row>
    <row r="24" spans="1:29" ht="18.75" customHeight="1" x14ac:dyDescent="0.2">
      <c r="A24" s="93" t="s">
        <v>54</v>
      </c>
      <c r="B24" s="72">
        <v>1.5</v>
      </c>
      <c r="C24" s="73">
        <v>0.20300000000000001</v>
      </c>
      <c r="D24" s="74">
        <v>0.3</v>
      </c>
      <c r="E24" s="94">
        <v>22</v>
      </c>
      <c r="F24" s="17" t="s">
        <v>15</v>
      </c>
      <c r="G24" s="18" t="s">
        <v>16</v>
      </c>
      <c r="H24" s="18" t="s">
        <v>16</v>
      </c>
      <c r="I24" s="18">
        <f>ROUND(79*Belarus*(1-C93),2)</f>
        <v>75.05</v>
      </c>
      <c r="J24" s="18" t="s">
        <v>16</v>
      </c>
      <c r="K24" s="18" t="s">
        <v>16</v>
      </c>
      <c r="L24" s="18" t="s">
        <v>16</v>
      </c>
      <c r="M24" s="18" t="s">
        <v>16</v>
      </c>
      <c r="N24" s="18" t="s">
        <v>16</v>
      </c>
      <c r="O24" s="18" t="s">
        <v>16</v>
      </c>
      <c r="P24" s="18" t="s">
        <v>16</v>
      </c>
      <c r="Q24" s="18" t="s">
        <v>16</v>
      </c>
      <c r="R24" s="18" t="s">
        <v>16</v>
      </c>
      <c r="S24" s="18" t="s">
        <v>16</v>
      </c>
      <c r="T24" s="19" t="s">
        <v>16</v>
      </c>
      <c r="U24" s="19" t="s">
        <v>16</v>
      </c>
      <c r="V24" s="18" t="s">
        <v>16</v>
      </c>
      <c r="W24" s="18" t="s">
        <v>16</v>
      </c>
      <c r="X24" s="18" t="s">
        <v>16</v>
      </c>
      <c r="Y24" s="18" t="s">
        <v>16</v>
      </c>
      <c r="Z24" s="19" t="s">
        <v>16</v>
      </c>
      <c r="AA24" s="19" t="s">
        <v>16</v>
      </c>
      <c r="AB24" s="19" t="s">
        <v>16</v>
      </c>
      <c r="AC24" s="19" t="s">
        <v>16</v>
      </c>
    </row>
    <row r="25" spans="1:29" ht="18.75" customHeight="1" x14ac:dyDescent="0.2">
      <c r="A25" s="93"/>
      <c r="B25" s="95"/>
      <c r="C25" s="73"/>
      <c r="D25" s="74"/>
      <c r="E25" s="94"/>
      <c r="F25" s="20" t="s">
        <v>17</v>
      </c>
      <c r="G25" s="21" t="s">
        <v>16</v>
      </c>
      <c r="H25" s="21" t="s">
        <v>16</v>
      </c>
      <c r="I25" s="21">
        <f>I24/0.3</f>
        <v>250.16666666666666</v>
      </c>
      <c r="J25" s="21" t="s">
        <v>16</v>
      </c>
      <c r="K25" s="21" t="s">
        <v>16</v>
      </c>
      <c r="L25" s="21" t="s">
        <v>16</v>
      </c>
      <c r="M25" s="21" t="s">
        <v>16</v>
      </c>
      <c r="N25" s="21" t="s">
        <v>16</v>
      </c>
      <c r="O25" s="21" t="s">
        <v>16</v>
      </c>
      <c r="P25" s="21" t="s">
        <v>16</v>
      </c>
      <c r="Q25" s="21" t="s">
        <v>16</v>
      </c>
      <c r="R25" s="21" t="s">
        <v>16</v>
      </c>
      <c r="S25" s="21" t="s">
        <v>16</v>
      </c>
      <c r="T25" s="22" t="s">
        <v>16</v>
      </c>
      <c r="U25" s="22" t="s">
        <v>16</v>
      </c>
      <c r="V25" s="21" t="s">
        <v>16</v>
      </c>
      <c r="W25" s="21" t="s">
        <v>16</v>
      </c>
      <c r="X25" s="21" t="s">
        <v>16</v>
      </c>
      <c r="Y25" s="21" t="s">
        <v>16</v>
      </c>
      <c r="Z25" s="22" t="s">
        <v>16</v>
      </c>
      <c r="AA25" s="22" t="s">
        <v>16</v>
      </c>
      <c r="AB25" s="22" t="s">
        <v>16</v>
      </c>
      <c r="AC25" s="22" t="s">
        <v>16</v>
      </c>
    </row>
    <row r="26" spans="1:29" ht="18.75" customHeight="1" x14ac:dyDescent="0.2">
      <c r="A26" s="93" t="s">
        <v>55</v>
      </c>
      <c r="B26" s="72">
        <v>3</v>
      </c>
      <c r="C26" s="73">
        <v>0.186</v>
      </c>
      <c r="D26" s="74">
        <v>0.56000000000000005</v>
      </c>
      <c r="E26" s="94">
        <v>22</v>
      </c>
      <c r="F26" s="17" t="s">
        <v>15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18" t="s">
        <v>16</v>
      </c>
      <c r="O26" s="18" t="s">
        <v>16</v>
      </c>
      <c r="P26" s="18" t="s">
        <v>16</v>
      </c>
      <c r="Q26" s="18" t="s">
        <v>16</v>
      </c>
      <c r="R26" s="18" t="s">
        <v>16</v>
      </c>
      <c r="S26" s="18" t="s">
        <v>16</v>
      </c>
      <c r="T26" s="19" t="s">
        <v>16</v>
      </c>
      <c r="U26" s="19" t="s">
        <v>16</v>
      </c>
      <c r="V26" s="18" t="s">
        <v>16</v>
      </c>
      <c r="W26" s="18" t="s">
        <v>16</v>
      </c>
      <c r="X26" s="18" t="s">
        <v>16</v>
      </c>
      <c r="Y26" s="18" t="s">
        <v>16</v>
      </c>
      <c r="Z26" s="19">
        <f>ROUND(99*Belarus*(1-F94),2)</f>
        <v>99</v>
      </c>
      <c r="AA26" s="19">
        <f>ROUND(99*Belarus*(1-F94),2)</f>
        <v>99</v>
      </c>
      <c r="AB26" s="19">
        <f>ROUND(99*Belarus*(1-F94),2)</f>
        <v>99</v>
      </c>
      <c r="AC26" s="19">
        <f>ROUND(99*Belarus*(1-F94),2)</f>
        <v>99</v>
      </c>
    </row>
    <row r="27" spans="1:29" ht="18.75" customHeight="1" x14ac:dyDescent="0.2">
      <c r="A27" s="93"/>
      <c r="B27" s="95"/>
      <c r="C27" s="73"/>
      <c r="D27" s="74"/>
      <c r="E27" s="94"/>
      <c r="F27" s="20" t="s">
        <v>17</v>
      </c>
      <c r="G27" s="21" t="s">
        <v>16</v>
      </c>
      <c r="H27" s="21" t="s">
        <v>16</v>
      </c>
      <c r="I27" s="21" t="s">
        <v>16</v>
      </c>
      <c r="J27" s="21" t="s">
        <v>16</v>
      </c>
      <c r="K27" s="21" t="s">
        <v>16</v>
      </c>
      <c r="L27" s="21" t="s">
        <v>16</v>
      </c>
      <c r="M27" s="21" t="s">
        <v>16</v>
      </c>
      <c r="N27" s="21" t="s">
        <v>16</v>
      </c>
      <c r="O27" s="21" t="s">
        <v>16</v>
      </c>
      <c r="P27" s="21" t="s">
        <v>16</v>
      </c>
      <c r="Q27" s="21" t="s">
        <v>16</v>
      </c>
      <c r="R27" s="21" t="s">
        <v>16</v>
      </c>
      <c r="S27" s="21" t="s">
        <v>16</v>
      </c>
      <c r="T27" s="22" t="s">
        <v>16</v>
      </c>
      <c r="U27" s="22" t="s">
        <v>16</v>
      </c>
      <c r="V27" s="21" t="s">
        <v>16</v>
      </c>
      <c r="W27" s="21" t="s">
        <v>16</v>
      </c>
      <c r="X27" s="21" t="s">
        <v>16</v>
      </c>
      <c r="Y27" s="21" t="s">
        <v>16</v>
      </c>
      <c r="Z27" s="22">
        <f>Z26/0.56</f>
        <v>176.78571428571428</v>
      </c>
      <c r="AA27" s="22">
        <f>AA26/0.56</f>
        <v>176.78571428571428</v>
      </c>
      <c r="AB27" s="22">
        <f>AB26/0.56</f>
        <v>176.78571428571428</v>
      </c>
      <c r="AC27" s="22">
        <f>AC26/0.56</f>
        <v>176.78571428571428</v>
      </c>
    </row>
    <row r="28" spans="1:29" ht="18.75" customHeight="1" x14ac:dyDescent="0.2">
      <c r="A28" s="93" t="s">
        <v>56</v>
      </c>
      <c r="B28" s="72">
        <v>3</v>
      </c>
      <c r="C28" s="73">
        <v>0.24399999999999999</v>
      </c>
      <c r="D28" s="74">
        <v>0.73199999999999998</v>
      </c>
      <c r="E28" s="94">
        <v>22</v>
      </c>
      <c r="F28" s="17" t="s">
        <v>15</v>
      </c>
      <c r="G28" s="18" t="s">
        <v>16</v>
      </c>
      <c r="H28" s="18">
        <f>ROUND(200*Belarus*(1-C95),2)</f>
        <v>174</v>
      </c>
      <c r="I28" s="18">
        <f>ROUND(200*Belarus*(1-C95),2)</f>
        <v>174</v>
      </c>
      <c r="J28" s="18" t="s">
        <v>16</v>
      </c>
      <c r="K28" s="18" t="s">
        <v>16</v>
      </c>
      <c r="L28" s="18" t="s">
        <v>16</v>
      </c>
      <c r="M28" s="18" t="s">
        <v>16</v>
      </c>
      <c r="N28" s="18" t="s">
        <v>16</v>
      </c>
      <c r="O28" s="18">
        <f>ROUND(180*Belarus*(1-C95),2)</f>
        <v>156.6</v>
      </c>
      <c r="P28" s="18">
        <f>ROUND(239*Belarus*(1-C95),2)</f>
        <v>207.93</v>
      </c>
      <c r="Q28" s="18">
        <f>ROUND(239*Belarus*(1-C95),2)</f>
        <v>207.93</v>
      </c>
      <c r="R28" s="18" t="s">
        <v>16</v>
      </c>
      <c r="S28" s="18" t="s">
        <v>16</v>
      </c>
      <c r="T28" s="19">
        <f>ROUND(220*Belarus*(1-D95),2)</f>
        <v>202.4</v>
      </c>
      <c r="U28" s="19">
        <f>ROUND(190*Belarus*(1-D95),2)</f>
        <v>174.8</v>
      </c>
      <c r="V28" s="18">
        <f>ROUND(259*Belarus*(1-E95),2)</f>
        <v>238.28</v>
      </c>
      <c r="W28" s="18">
        <f>ROUND(259*Belarus*(1-E95),2)</f>
        <v>238.28</v>
      </c>
      <c r="X28" s="18">
        <f>ROUND(259*Belarus*(1-E95),2)</f>
        <v>238.28</v>
      </c>
      <c r="Y28" s="18">
        <f>ROUND(243*Belarus*(1-E95),2)</f>
        <v>223.56</v>
      </c>
      <c r="Z28" s="19" t="s">
        <v>16</v>
      </c>
      <c r="AA28" s="19" t="s">
        <v>16</v>
      </c>
      <c r="AB28" s="19" t="s">
        <v>16</v>
      </c>
      <c r="AC28" s="19" t="s">
        <v>16</v>
      </c>
    </row>
    <row r="29" spans="1:29" ht="18.75" customHeight="1" x14ac:dyDescent="0.2">
      <c r="A29" s="93"/>
      <c r="B29" s="95"/>
      <c r="C29" s="73"/>
      <c r="D29" s="74"/>
      <c r="E29" s="94"/>
      <c r="F29" s="20" t="s">
        <v>17</v>
      </c>
      <c r="G29" s="21" t="s">
        <v>16</v>
      </c>
      <c r="H29" s="21">
        <f>H28/0.732</f>
        <v>237.70491803278688</v>
      </c>
      <c r="I29" s="21">
        <f>I28/0.732</f>
        <v>237.70491803278688</v>
      </c>
      <c r="J29" s="21" t="s">
        <v>16</v>
      </c>
      <c r="K29" s="21" t="s">
        <v>16</v>
      </c>
      <c r="L29" s="21" t="s">
        <v>16</v>
      </c>
      <c r="M29" s="21" t="s">
        <v>16</v>
      </c>
      <c r="N29" s="21" t="s">
        <v>16</v>
      </c>
      <c r="O29" s="21">
        <f>O28/0.732</f>
        <v>213.9344262295082</v>
      </c>
      <c r="P29" s="21">
        <f>P28/0.732</f>
        <v>284.05737704918033</v>
      </c>
      <c r="Q29" s="21">
        <f>Q28/0.732</f>
        <v>284.05737704918033</v>
      </c>
      <c r="R29" s="21" t="s">
        <v>16</v>
      </c>
      <c r="S29" s="21" t="s">
        <v>16</v>
      </c>
      <c r="T29" s="22">
        <f t="shared" ref="T29:Y29" si="4">T28/0.732</f>
        <v>276.50273224043718</v>
      </c>
      <c r="U29" s="22">
        <f t="shared" si="4"/>
        <v>238.7978142076503</v>
      </c>
      <c r="V29" s="21">
        <f t="shared" si="4"/>
        <v>325.51912568306011</v>
      </c>
      <c r="W29" s="21">
        <f t="shared" si="4"/>
        <v>325.51912568306011</v>
      </c>
      <c r="X29" s="21">
        <f t="shared" si="4"/>
        <v>325.51912568306011</v>
      </c>
      <c r="Y29" s="21">
        <f t="shared" si="4"/>
        <v>305.40983606557376</v>
      </c>
      <c r="Z29" s="22" t="s">
        <v>16</v>
      </c>
      <c r="AA29" s="22" t="s">
        <v>16</v>
      </c>
      <c r="AB29" s="22" t="s">
        <v>16</v>
      </c>
      <c r="AC29" s="22" t="s">
        <v>16</v>
      </c>
    </row>
    <row r="30" spans="1:29" ht="18.75" customHeight="1" x14ac:dyDescent="0.2">
      <c r="A30" s="93" t="s">
        <v>57</v>
      </c>
      <c r="B30" s="72">
        <v>3</v>
      </c>
      <c r="C30" s="73">
        <v>0.16</v>
      </c>
      <c r="D30" s="74">
        <v>0.48</v>
      </c>
      <c r="E30" s="94">
        <v>22</v>
      </c>
      <c r="F30" s="17" t="s">
        <v>15</v>
      </c>
      <c r="G30" s="18">
        <f>ROUND(99*Belarus*(1-C96),2)</f>
        <v>86.13</v>
      </c>
      <c r="H30" s="18">
        <f>ROUND(99*Belarus*(1-C96),2)</f>
        <v>86.13</v>
      </c>
      <c r="I30" s="18">
        <f>ROUND(99*Belarus*(1-C96),2)</f>
        <v>86.13</v>
      </c>
      <c r="J30" s="18">
        <f>ROUND(99*Belarus*(1-C96),2)</f>
        <v>86.13</v>
      </c>
      <c r="K30" s="18" t="s">
        <v>16</v>
      </c>
      <c r="L30" s="18" t="s">
        <v>16</v>
      </c>
      <c r="M30" s="18" t="s">
        <v>16</v>
      </c>
      <c r="N30" s="18" t="s">
        <v>16</v>
      </c>
      <c r="O30" s="18" t="s">
        <v>16</v>
      </c>
      <c r="P30" s="18" t="s">
        <v>16</v>
      </c>
      <c r="Q30" s="18" t="s">
        <v>16</v>
      </c>
      <c r="R30" s="18" t="s">
        <v>16</v>
      </c>
      <c r="S30" s="18" t="s">
        <v>16</v>
      </c>
      <c r="T30" s="19" t="s">
        <v>16</v>
      </c>
      <c r="U30" s="19" t="s">
        <v>16</v>
      </c>
      <c r="V30" s="18" t="s">
        <v>16</v>
      </c>
      <c r="W30" s="18" t="s">
        <v>16</v>
      </c>
      <c r="X30" s="18" t="s">
        <v>16</v>
      </c>
      <c r="Y30" s="18" t="s">
        <v>16</v>
      </c>
      <c r="Z30" s="19" t="s">
        <v>16</v>
      </c>
      <c r="AA30" s="19" t="s">
        <v>16</v>
      </c>
      <c r="AB30" s="19" t="s">
        <v>16</v>
      </c>
      <c r="AC30" s="19" t="s">
        <v>16</v>
      </c>
    </row>
    <row r="31" spans="1:29" ht="18.75" customHeight="1" x14ac:dyDescent="0.2">
      <c r="A31" s="93"/>
      <c r="B31" s="72"/>
      <c r="C31" s="73"/>
      <c r="D31" s="74"/>
      <c r="E31" s="94"/>
      <c r="F31" s="20" t="s">
        <v>17</v>
      </c>
      <c r="G31" s="21">
        <f>G30/0.48</f>
        <v>179.4375</v>
      </c>
      <c r="H31" s="21">
        <f>H30/0.48</f>
        <v>179.4375</v>
      </c>
      <c r="I31" s="21">
        <f>I30/0.48</f>
        <v>179.4375</v>
      </c>
      <c r="J31" s="21">
        <f>J30/0.48</f>
        <v>179.4375</v>
      </c>
      <c r="K31" s="21" t="s">
        <v>16</v>
      </c>
      <c r="L31" s="21" t="s">
        <v>16</v>
      </c>
      <c r="M31" s="21" t="s">
        <v>16</v>
      </c>
      <c r="N31" s="21" t="s">
        <v>16</v>
      </c>
      <c r="O31" s="21" t="s">
        <v>16</v>
      </c>
      <c r="P31" s="21" t="s">
        <v>16</v>
      </c>
      <c r="Q31" s="21" t="s">
        <v>16</v>
      </c>
      <c r="R31" s="21" t="s">
        <v>16</v>
      </c>
      <c r="S31" s="21" t="s">
        <v>16</v>
      </c>
      <c r="T31" s="22" t="s">
        <v>16</v>
      </c>
      <c r="U31" s="22" t="s">
        <v>16</v>
      </c>
      <c r="V31" s="21" t="s">
        <v>16</v>
      </c>
      <c r="W31" s="21" t="s">
        <v>16</v>
      </c>
      <c r="X31" s="21" t="s">
        <v>16</v>
      </c>
      <c r="Y31" s="21" t="s">
        <v>16</v>
      </c>
      <c r="Z31" s="22" t="s">
        <v>16</v>
      </c>
      <c r="AA31" s="22" t="s">
        <v>16</v>
      </c>
      <c r="AB31" s="22" t="s">
        <v>16</v>
      </c>
      <c r="AC31" s="22" t="s">
        <v>16</v>
      </c>
    </row>
    <row r="32" spans="1:29" ht="18.75" customHeight="1" x14ac:dyDescent="0.2">
      <c r="A32" s="93" t="s">
        <v>58</v>
      </c>
      <c r="B32" s="72">
        <v>3</v>
      </c>
      <c r="C32" s="73">
        <v>0.182</v>
      </c>
      <c r="D32" s="74">
        <v>0.54600000000000004</v>
      </c>
      <c r="E32" s="94">
        <v>22</v>
      </c>
      <c r="F32" s="17" t="s">
        <v>15</v>
      </c>
      <c r="G32" s="18" t="s">
        <v>16</v>
      </c>
      <c r="H32" s="18" t="s">
        <v>16</v>
      </c>
      <c r="I32" s="18" t="s">
        <v>16</v>
      </c>
      <c r="J32" s="18" t="s">
        <v>16</v>
      </c>
      <c r="K32" s="18" t="s">
        <v>16</v>
      </c>
      <c r="L32" s="18" t="s">
        <v>16</v>
      </c>
      <c r="M32" s="18" t="s">
        <v>16</v>
      </c>
      <c r="N32" s="18" t="s">
        <v>16</v>
      </c>
      <c r="O32" s="18" t="s">
        <v>16</v>
      </c>
      <c r="P32" s="18" t="s">
        <v>16</v>
      </c>
      <c r="Q32" s="18" t="s">
        <v>16</v>
      </c>
      <c r="R32" s="18" t="s">
        <v>16</v>
      </c>
      <c r="S32" s="18" t="s">
        <v>16</v>
      </c>
      <c r="T32" s="19">
        <f>ROUND(165*Belarus*(1-D97),2)</f>
        <v>151.80000000000001</v>
      </c>
      <c r="U32" s="19" t="s">
        <v>16</v>
      </c>
      <c r="V32" s="18">
        <f>ROUND(215*Belarus*(1-E97),2)</f>
        <v>197.8</v>
      </c>
      <c r="W32" s="18">
        <f>ROUND(215*Belarus*(1-E97),2)</f>
        <v>197.8</v>
      </c>
      <c r="X32" s="18">
        <f>ROUND(215*Belarus*(1-E97),2)</f>
        <v>197.8</v>
      </c>
      <c r="Y32" s="18" t="s">
        <v>16</v>
      </c>
      <c r="Z32" s="19" t="s">
        <v>16</v>
      </c>
      <c r="AA32" s="19" t="s">
        <v>16</v>
      </c>
      <c r="AB32" s="19" t="s">
        <v>16</v>
      </c>
      <c r="AC32" s="19" t="s">
        <v>16</v>
      </c>
    </row>
    <row r="33" spans="1:29" ht="18.75" customHeight="1" x14ac:dyDescent="0.2">
      <c r="A33" s="93"/>
      <c r="B33" s="72"/>
      <c r="C33" s="73"/>
      <c r="D33" s="74"/>
      <c r="E33" s="94"/>
      <c r="F33" s="20" t="s">
        <v>17</v>
      </c>
      <c r="G33" s="21" t="s">
        <v>16</v>
      </c>
      <c r="H33" s="21" t="s">
        <v>16</v>
      </c>
      <c r="I33" s="21" t="s">
        <v>16</v>
      </c>
      <c r="J33" s="21" t="s">
        <v>16</v>
      </c>
      <c r="K33" s="21" t="s">
        <v>16</v>
      </c>
      <c r="L33" s="21" t="s">
        <v>16</v>
      </c>
      <c r="M33" s="21" t="s">
        <v>16</v>
      </c>
      <c r="N33" s="21" t="s">
        <v>16</v>
      </c>
      <c r="O33" s="21" t="s">
        <v>16</v>
      </c>
      <c r="P33" s="21" t="s">
        <v>16</v>
      </c>
      <c r="Q33" s="21" t="s">
        <v>16</v>
      </c>
      <c r="R33" s="21" t="s">
        <v>16</v>
      </c>
      <c r="S33" s="21" t="s">
        <v>16</v>
      </c>
      <c r="T33" s="22">
        <f>T32/0.546</f>
        <v>278.02197802197804</v>
      </c>
      <c r="U33" s="22" t="s">
        <v>16</v>
      </c>
      <c r="V33" s="21">
        <f>V32/0.546</f>
        <v>362.27106227106225</v>
      </c>
      <c r="W33" s="21">
        <f>W32/0.546</f>
        <v>362.27106227106225</v>
      </c>
      <c r="X33" s="21">
        <f>X32/0.546</f>
        <v>362.27106227106225</v>
      </c>
      <c r="Y33" s="21" t="s">
        <v>16</v>
      </c>
      <c r="Z33" s="22" t="s">
        <v>16</v>
      </c>
      <c r="AA33" s="22" t="s">
        <v>16</v>
      </c>
      <c r="AB33" s="22" t="s">
        <v>16</v>
      </c>
      <c r="AC33" s="22" t="s">
        <v>16</v>
      </c>
    </row>
    <row r="34" spans="1:29" ht="15" customHeight="1" x14ac:dyDescent="0.2">
      <c r="A34" s="79" t="s">
        <v>59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29" ht="18.75" customHeight="1" x14ac:dyDescent="0.2">
      <c r="A35" s="23" t="s">
        <v>60</v>
      </c>
      <c r="B35" s="24">
        <v>3</v>
      </c>
      <c r="C35" s="24" t="s">
        <v>16</v>
      </c>
      <c r="D35" s="24" t="s">
        <v>16</v>
      </c>
      <c r="E35" s="25">
        <v>24</v>
      </c>
      <c r="F35" s="26" t="s">
        <v>15</v>
      </c>
      <c r="G35" s="27">
        <f>ROUND(546*Belarus*(1-C102),2)</f>
        <v>382.2</v>
      </c>
      <c r="H35" s="27">
        <f>ROUND(546*Belarus*(1-C102),2)</f>
        <v>382.2</v>
      </c>
      <c r="I35" s="27">
        <f>ROUND(546*Belarus*(1-C102),2)</f>
        <v>382.2</v>
      </c>
      <c r="J35" s="27">
        <f>ROUND(546*Belarus*(1-C102),2)</f>
        <v>382.2</v>
      </c>
      <c r="K35" s="27">
        <f>ROUND(546*Belarus*(1-C102),2)</f>
        <v>382.2</v>
      </c>
      <c r="L35" s="27">
        <f>ROUND(546*Belarus*(1-C102),2)</f>
        <v>382.2</v>
      </c>
      <c r="M35" s="27">
        <f>ROUND(546*Belarus*(1-C102),2)</f>
        <v>382.2</v>
      </c>
      <c r="N35" s="27">
        <f>ROUND(546*Belarus*(1-C102),2)</f>
        <v>382.2</v>
      </c>
      <c r="O35" s="27">
        <f>ROUND(491*Belarus*(1-C102),2)</f>
        <v>343.7</v>
      </c>
      <c r="P35" s="27">
        <f>ROUND(629*Belarus*(1-C102),2)</f>
        <v>440.3</v>
      </c>
      <c r="Q35" s="27">
        <f>ROUND(629*Belarus*(1-C102),2)</f>
        <v>440.3</v>
      </c>
      <c r="R35" s="27">
        <f>ROUND(546*Belarus*(1-C102),2)</f>
        <v>382.2</v>
      </c>
      <c r="S35" s="27">
        <f>ROUND(587*Belarus*(1-C102),2)</f>
        <v>410.9</v>
      </c>
      <c r="T35" s="24">
        <f>ROUND(685*Belarus*(1-C102),2)</f>
        <v>479.5</v>
      </c>
      <c r="U35" s="28">
        <f>ROUND(493*Belarus*(1-C102),2)</f>
        <v>345.1</v>
      </c>
      <c r="V35" s="29">
        <f>ROUND(627*Belarus*(1-C102),2)</f>
        <v>438.9</v>
      </c>
      <c r="W35" s="30">
        <f>ROUND(627*Belarus*(1-C102),2)</f>
        <v>438.9</v>
      </c>
      <c r="X35" s="30">
        <f>ROUND(627*Belarus*(1-C102),2)</f>
        <v>438.9</v>
      </c>
      <c r="Y35" s="30">
        <f>ROUND(627*Belarus*(1-C102),2)</f>
        <v>438.9</v>
      </c>
      <c r="Z35" s="28" t="s">
        <v>16</v>
      </c>
      <c r="AA35" s="28" t="s">
        <v>16</v>
      </c>
      <c r="AB35" s="28" t="s">
        <v>16</v>
      </c>
      <c r="AC35" s="28" t="s">
        <v>16</v>
      </c>
    </row>
    <row r="36" spans="1:29" ht="18.75" customHeight="1" x14ac:dyDescent="0.2">
      <c r="A36" s="31" t="s">
        <v>61</v>
      </c>
      <c r="B36" s="24">
        <v>3</v>
      </c>
      <c r="C36" s="24" t="s">
        <v>16</v>
      </c>
      <c r="D36" s="24" t="s">
        <v>16</v>
      </c>
      <c r="E36" s="25">
        <v>51</v>
      </c>
      <c r="F36" s="26" t="s">
        <v>15</v>
      </c>
      <c r="G36" s="29">
        <f>ROUND(212*Belarus*(1-C102),2)</f>
        <v>148.4</v>
      </c>
      <c r="H36" s="29">
        <f>ROUND(212*Belarus*(1-C102),2)</f>
        <v>148.4</v>
      </c>
      <c r="I36" s="29">
        <f>ROUND(212*Belarus*(1-C102),2)</f>
        <v>148.4</v>
      </c>
      <c r="J36" s="29">
        <f>ROUND(212*Belarus*(1-C102),2)</f>
        <v>148.4</v>
      </c>
      <c r="K36" s="29">
        <f>ROUND(212*Belarus*(1-C102),2)</f>
        <v>148.4</v>
      </c>
      <c r="L36" s="29">
        <f>ROUND(212*Belarus*(1-C102),2)</f>
        <v>148.4</v>
      </c>
      <c r="M36" s="29">
        <f>ROUND(212*Belarus*(1-C102),2)</f>
        <v>148.4</v>
      </c>
      <c r="N36" s="29">
        <f>ROUND(212*Belarus*(1-C102),2)</f>
        <v>148.4</v>
      </c>
      <c r="O36" s="29">
        <f>ROUND(191*Belarus*(1-C102),2)</f>
        <v>133.69999999999999</v>
      </c>
      <c r="P36" s="29">
        <f>ROUND(243*Belarus*(1-C102),2)</f>
        <v>170.1</v>
      </c>
      <c r="Q36" s="29">
        <f>ROUND(243*Belarus*(1-C102),2)</f>
        <v>170.1</v>
      </c>
      <c r="R36" s="29">
        <f>ROUND(212*Belarus*(1-C102),2)</f>
        <v>148.4</v>
      </c>
      <c r="S36" s="29">
        <f>ROUND(227*Belarus*(1-C102),2)</f>
        <v>158.9</v>
      </c>
      <c r="T36" s="28">
        <f>ROUND(265*Belarus*(1-C102),2)</f>
        <v>185.5</v>
      </c>
      <c r="U36" s="28">
        <f>ROUND(191*Belarus*(1-C102),2)</f>
        <v>133.69999999999999</v>
      </c>
      <c r="V36" s="29">
        <f>ROUND(275*Belarus*(1-C102),2)</f>
        <v>192.5</v>
      </c>
      <c r="W36" s="29">
        <f>ROUND(275*Belarus*(1-C102),2)</f>
        <v>192.5</v>
      </c>
      <c r="X36" s="29">
        <f>ROUND(275*Belarus*(1-C102),2)</f>
        <v>192.5</v>
      </c>
      <c r="Y36" s="29">
        <f>ROUND(275*Belarus*(1-C102),2)</f>
        <v>192.5</v>
      </c>
      <c r="Z36" s="28" t="s">
        <v>16</v>
      </c>
      <c r="AA36" s="28" t="s">
        <v>16</v>
      </c>
      <c r="AB36" s="28" t="s">
        <v>16</v>
      </c>
      <c r="AC36" s="28" t="s">
        <v>16</v>
      </c>
    </row>
    <row r="37" spans="1:29" ht="18.75" customHeight="1" x14ac:dyDescent="0.2">
      <c r="A37" s="31" t="s">
        <v>62</v>
      </c>
      <c r="B37" s="24">
        <v>3</v>
      </c>
      <c r="C37" s="24" t="s">
        <v>16</v>
      </c>
      <c r="D37" s="24" t="s">
        <v>16</v>
      </c>
      <c r="E37" s="25">
        <v>69</v>
      </c>
      <c r="F37" s="26" t="s">
        <v>15</v>
      </c>
      <c r="G37" s="29">
        <f>ROUND(190*Belarus*(1-C102),2)</f>
        <v>133</v>
      </c>
      <c r="H37" s="29" t="s">
        <v>16</v>
      </c>
      <c r="I37" s="29" t="s">
        <v>16</v>
      </c>
      <c r="J37" s="29" t="s">
        <v>16</v>
      </c>
      <c r="K37" s="29" t="s">
        <v>16</v>
      </c>
      <c r="L37" s="29" t="s">
        <v>16</v>
      </c>
      <c r="M37" s="29" t="s">
        <v>16</v>
      </c>
      <c r="N37" s="29" t="s">
        <v>16</v>
      </c>
      <c r="O37" s="29" t="s">
        <v>16</v>
      </c>
      <c r="P37" s="29" t="s">
        <v>16</v>
      </c>
      <c r="Q37" s="29" t="s">
        <v>16</v>
      </c>
      <c r="R37" s="29" t="s">
        <v>16</v>
      </c>
      <c r="S37" s="29">
        <f>ROUND(194*Belarus*(1-C102),2)</f>
        <v>135.80000000000001</v>
      </c>
      <c r="T37" s="28" t="s">
        <v>16</v>
      </c>
      <c r="U37" s="28" t="s">
        <v>16</v>
      </c>
      <c r="V37" s="29" t="s">
        <v>16</v>
      </c>
      <c r="W37" s="29" t="s">
        <v>16</v>
      </c>
      <c r="X37" s="29" t="s">
        <v>16</v>
      </c>
      <c r="Y37" s="29" t="s">
        <v>16</v>
      </c>
      <c r="Z37" s="28" t="s">
        <v>16</v>
      </c>
      <c r="AA37" s="28" t="s">
        <v>16</v>
      </c>
      <c r="AB37" s="28" t="s">
        <v>16</v>
      </c>
      <c r="AC37" s="28" t="s">
        <v>16</v>
      </c>
    </row>
    <row r="38" spans="1:29" ht="18.75" customHeight="1" x14ac:dyDescent="0.2">
      <c r="A38" s="23" t="s">
        <v>63</v>
      </c>
      <c r="B38" s="24">
        <v>3</v>
      </c>
      <c r="C38" s="24" t="s">
        <v>16</v>
      </c>
      <c r="D38" s="24" t="s">
        <v>16</v>
      </c>
      <c r="E38" s="25">
        <v>50</v>
      </c>
      <c r="F38" s="26" t="s">
        <v>15</v>
      </c>
      <c r="G38" s="27">
        <f>ROUND(175*Belarus*(1-C102),2)</f>
        <v>122.5</v>
      </c>
      <c r="H38" s="27">
        <f>ROUND(175*Belarus*(1-C102),2)</f>
        <v>122.5</v>
      </c>
      <c r="I38" s="27">
        <f>ROUND(175*Belarus*(1-C102),2)</f>
        <v>122.5</v>
      </c>
      <c r="J38" s="29">
        <f>ROUND(158*Belarus*(1-C102),2)</f>
        <v>110.6</v>
      </c>
      <c r="K38" s="29">
        <f>ROUND(149*Belarus*(1-C102),2)</f>
        <v>104.3</v>
      </c>
      <c r="L38" s="29">
        <f>ROUND(149*Belarus*(1-C102),2)</f>
        <v>104.3</v>
      </c>
      <c r="M38" s="29">
        <f>ROUND(149*Belarus*(1-C102),2)</f>
        <v>104.3</v>
      </c>
      <c r="N38" s="29">
        <f>ROUND(149*Belarus*(1-C102),2)</f>
        <v>104.3</v>
      </c>
      <c r="O38" s="27">
        <f>ROUND(158*Belarus*(1-C102),2)</f>
        <v>110.6</v>
      </c>
      <c r="P38" s="29">
        <f>ROUND(182*Belarus*(1-C102),2)</f>
        <v>127.4</v>
      </c>
      <c r="Q38" s="29">
        <f>ROUND(172*Belarus*(1-C102),2)</f>
        <v>120.4</v>
      </c>
      <c r="R38" s="29">
        <f>ROUND(158*Belarus*(1-C102),2)</f>
        <v>110.6</v>
      </c>
      <c r="S38" s="27">
        <f>ROUND(190*Belarus*(1-C102),2)</f>
        <v>133</v>
      </c>
      <c r="T38" s="28">
        <f>ROUND(189*Belarus*(1-C102),2)</f>
        <v>132.30000000000001</v>
      </c>
      <c r="U38" s="28">
        <f>ROUND(159*Belarus*(1-C102),2)</f>
        <v>111.3</v>
      </c>
      <c r="V38" s="27" t="s">
        <v>16</v>
      </c>
      <c r="W38" s="27" t="s">
        <v>16</v>
      </c>
      <c r="X38" s="27" t="s">
        <v>16</v>
      </c>
      <c r="Y38" s="27" t="s">
        <v>16</v>
      </c>
      <c r="Z38" s="28" t="s">
        <v>16</v>
      </c>
      <c r="AA38" s="28" t="s">
        <v>16</v>
      </c>
      <c r="AB38" s="28" t="s">
        <v>16</v>
      </c>
      <c r="AC38" s="28" t="s">
        <v>16</v>
      </c>
    </row>
    <row r="39" spans="1:29" ht="18.75" customHeight="1" x14ac:dyDescent="0.2">
      <c r="A39" s="23" t="s">
        <v>64</v>
      </c>
      <c r="B39" s="24">
        <v>3</v>
      </c>
      <c r="C39" s="24" t="s">
        <v>16</v>
      </c>
      <c r="D39" s="24" t="s">
        <v>16</v>
      </c>
      <c r="E39" s="25">
        <v>40</v>
      </c>
      <c r="F39" s="26" t="s">
        <v>15</v>
      </c>
      <c r="G39" s="27">
        <f>ROUND(171*Belarus*(1-C102),2)</f>
        <v>119.7</v>
      </c>
      <c r="H39" s="27" t="s">
        <v>16</v>
      </c>
      <c r="I39" s="27" t="s">
        <v>16</v>
      </c>
      <c r="J39" s="29" t="s">
        <v>16</v>
      </c>
      <c r="K39" s="29" t="s">
        <v>16</v>
      </c>
      <c r="L39" s="29" t="s">
        <v>16</v>
      </c>
      <c r="M39" s="29" t="s">
        <v>16</v>
      </c>
      <c r="N39" s="29" t="s">
        <v>16</v>
      </c>
      <c r="O39" s="27" t="s">
        <v>16</v>
      </c>
      <c r="P39" s="29" t="s">
        <v>16</v>
      </c>
      <c r="Q39" s="29" t="s">
        <v>16</v>
      </c>
      <c r="R39" s="29" t="s">
        <v>16</v>
      </c>
      <c r="S39" s="30" t="s">
        <v>16</v>
      </c>
      <c r="T39" s="28" t="s">
        <v>16</v>
      </c>
      <c r="U39" s="28" t="s">
        <v>16</v>
      </c>
      <c r="V39" s="27" t="s">
        <v>16</v>
      </c>
      <c r="W39" s="27" t="s">
        <v>16</v>
      </c>
      <c r="X39" s="27" t="s">
        <v>16</v>
      </c>
      <c r="Y39" s="27" t="s">
        <v>16</v>
      </c>
      <c r="Z39" s="28" t="s">
        <v>16</v>
      </c>
      <c r="AA39" s="28" t="s">
        <v>16</v>
      </c>
      <c r="AB39" s="28" t="s">
        <v>16</v>
      </c>
      <c r="AC39" s="28" t="s">
        <v>16</v>
      </c>
    </row>
    <row r="40" spans="1:29" ht="18.75" customHeight="1" x14ac:dyDescent="0.2">
      <c r="A40" s="31" t="s">
        <v>65</v>
      </c>
      <c r="B40" s="24">
        <v>3</v>
      </c>
      <c r="C40" s="24" t="s">
        <v>16</v>
      </c>
      <c r="D40" s="24" t="s">
        <v>16</v>
      </c>
      <c r="E40" s="25">
        <v>10</v>
      </c>
      <c r="F40" s="26" t="s">
        <v>15</v>
      </c>
      <c r="G40" s="29">
        <f>ROUND(599*Belarus*(1-C102),2)</f>
        <v>419.3</v>
      </c>
      <c r="H40" s="29">
        <f>ROUND(599*Belarus*(1-C102),2)</f>
        <v>419.3</v>
      </c>
      <c r="I40" s="29">
        <f>ROUND(599*Belarus*(1-C102),2)</f>
        <v>419.3</v>
      </c>
      <c r="J40" s="29">
        <f>ROUND(599*Belarus*(1-C102),2)</f>
        <v>419.3</v>
      </c>
      <c r="K40" s="29">
        <f>ROUND(539*Belarus*(1-C102),2)</f>
        <v>377.3</v>
      </c>
      <c r="L40" s="29">
        <f>ROUND(599*Belarus*(1-C102),2)</f>
        <v>419.3</v>
      </c>
      <c r="M40" s="29">
        <f>ROUND(599*Belarus*(1-C102),2)</f>
        <v>419.3</v>
      </c>
      <c r="N40" s="29">
        <f>ROUND(599*Belarus*(1-C102),2)</f>
        <v>419.3</v>
      </c>
      <c r="O40" s="29">
        <f>ROUND(539*Belarus*(1-C102),2)</f>
        <v>377.3</v>
      </c>
      <c r="P40" s="29">
        <f>ROUND(691*Belarus*(1-C102),2)</f>
        <v>483.7</v>
      </c>
      <c r="Q40" s="29">
        <f>ROUND(691*Belarus*(1-C102),2)</f>
        <v>483.7</v>
      </c>
      <c r="R40" s="29">
        <f>ROUND(599*Belarus*(1-C102),2)</f>
        <v>419.3</v>
      </c>
      <c r="S40" s="29">
        <f>ROUND(637*Belarus*(1-C102),2)</f>
        <v>445.9</v>
      </c>
      <c r="T40" s="28">
        <f>ROUND(746*Belarus*(1-C102),2)</f>
        <v>522.20000000000005</v>
      </c>
      <c r="U40" s="28">
        <f>ROUND(537*Belarus*(1-C102),2)</f>
        <v>375.9</v>
      </c>
      <c r="V40" s="29">
        <f>ROUND(673*Belarus*(1-C102),2)</f>
        <v>471.1</v>
      </c>
      <c r="W40" s="29">
        <f>ROUND(673*Belarus*(1-C102),2)</f>
        <v>471.1</v>
      </c>
      <c r="X40" s="29">
        <f>ROUND(673*Belarus*(1-C102),2)</f>
        <v>471.1</v>
      </c>
      <c r="Y40" s="29">
        <f>ROUND(673*Belarus*(1-C102),2)</f>
        <v>471.1</v>
      </c>
      <c r="Z40" s="28" t="s">
        <v>16</v>
      </c>
      <c r="AA40" s="28" t="s">
        <v>16</v>
      </c>
      <c r="AB40" s="28" t="s">
        <v>16</v>
      </c>
      <c r="AC40" s="28" t="s">
        <v>16</v>
      </c>
    </row>
    <row r="41" spans="1:29" ht="18.75" customHeight="1" x14ac:dyDescent="0.2">
      <c r="A41" s="31" t="s">
        <v>66</v>
      </c>
      <c r="B41" s="24">
        <v>3</v>
      </c>
      <c r="C41" s="24" t="s">
        <v>16</v>
      </c>
      <c r="D41" s="24" t="s">
        <v>16</v>
      </c>
      <c r="E41" s="25">
        <v>8</v>
      </c>
      <c r="F41" s="26" t="s">
        <v>15</v>
      </c>
      <c r="G41" s="29">
        <f>ROUND(539*Belarus*(1-C102),2)</f>
        <v>377.3</v>
      </c>
      <c r="H41" s="29" t="s">
        <v>16</v>
      </c>
      <c r="I41" s="29" t="s">
        <v>16</v>
      </c>
      <c r="J41" s="29" t="s">
        <v>16</v>
      </c>
      <c r="K41" s="29" t="s">
        <v>16</v>
      </c>
      <c r="L41" s="29" t="s">
        <v>16</v>
      </c>
      <c r="M41" s="29" t="s">
        <v>16</v>
      </c>
      <c r="N41" s="29" t="s">
        <v>16</v>
      </c>
      <c r="O41" s="29" t="s">
        <v>16</v>
      </c>
      <c r="P41" s="29" t="s">
        <v>16</v>
      </c>
      <c r="Q41" s="29" t="s">
        <v>16</v>
      </c>
      <c r="R41" s="29" t="s">
        <v>16</v>
      </c>
      <c r="S41" s="29">
        <f>ROUND(535*Belarus*(1-C102),2)</f>
        <v>374.5</v>
      </c>
      <c r="T41" s="28" t="s">
        <v>16</v>
      </c>
      <c r="U41" s="28" t="s">
        <v>16</v>
      </c>
      <c r="V41" s="29" t="s">
        <v>16</v>
      </c>
      <c r="W41" s="29" t="s">
        <v>16</v>
      </c>
      <c r="X41" s="29" t="s">
        <v>16</v>
      </c>
      <c r="Y41" s="29" t="s">
        <v>16</v>
      </c>
      <c r="Z41" s="28" t="s">
        <v>16</v>
      </c>
      <c r="AA41" s="28" t="s">
        <v>16</v>
      </c>
      <c r="AB41" s="28" t="s">
        <v>16</v>
      </c>
      <c r="AC41" s="28" t="s">
        <v>16</v>
      </c>
    </row>
    <row r="42" spans="1:29" ht="18.75" customHeight="1" x14ac:dyDescent="0.2">
      <c r="A42" s="23" t="s">
        <v>67</v>
      </c>
      <c r="B42" s="24">
        <v>3</v>
      </c>
      <c r="C42" s="24" t="s">
        <v>16</v>
      </c>
      <c r="D42" s="24" t="s">
        <v>16</v>
      </c>
      <c r="E42" s="25">
        <v>20</v>
      </c>
      <c r="F42" s="26" t="s">
        <v>15</v>
      </c>
      <c r="G42" s="27">
        <f>ROUND(527*Belarus*(1-C102),2)</f>
        <v>368.9</v>
      </c>
      <c r="H42" s="27">
        <f>ROUND(527*Belarus*(1-C102),2)</f>
        <v>368.9</v>
      </c>
      <c r="I42" s="27">
        <f>ROUND(527*Belarus*(1-C102),2)</f>
        <v>368.9</v>
      </c>
      <c r="J42" s="27">
        <f>ROUND(527*Belarus*(1-C102),2)</f>
        <v>368.9</v>
      </c>
      <c r="K42" s="29">
        <f>ROUND(448*Belarus*(1-C102),2)</f>
        <v>313.60000000000002</v>
      </c>
      <c r="L42" s="29">
        <f>ROUND(474*Belarus*(1-C102),2)</f>
        <v>331.8</v>
      </c>
      <c r="M42" s="29">
        <f>ROUND(474*Belarus*(1-C102),2)</f>
        <v>331.8</v>
      </c>
      <c r="N42" s="27">
        <f>ROUND(527*Belarus*(1-C102),2)</f>
        <v>368.9</v>
      </c>
      <c r="O42" s="27">
        <f>ROUND(474*Belarus*(1-C102),2)</f>
        <v>331.8</v>
      </c>
      <c r="P42" s="29">
        <f>ROUND(547*Belarus*(1-C102),2)</f>
        <v>382.9</v>
      </c>
      <c r="Q42" s="27">
        <f>ROUND(608*Belarus*(1-C102),2)</f>
        <v>425.6</v>
      </c>
      <c r="R42" s="27">
        <f>ROUND(527*Belarus*(1-C102),2)</f>
        <v>368.9</v>
      </c>
      <c r="S42" s="27">
        <f>ROUND(568*Belarus*(1-C102),2)</f>
        <v>397.6</v>
      </c>
      <c r="T42" s="28">
        <f>ROUND(568*Belarus*(1-C102),2)</f>
        <v>397.6</v>
      </c>
      <c r="U42" s="28">
        <f>ROUND(478*Belarus*(1-C102),2)</f>
        <v>334.6</v>
      </c>
      <c r="V42" s="27" t="s">
        <v>16</v>
      </c>
      <c r="W42" s="27" t="s">
        <v>16</v>
      </c>
      <c r="X42" s="27" t="s">
        <v>16</v>
      </c>
      <c r="Y42" s="27" t="s">
        <v>16</v>
      </c>
      <c r="Z42" s="28" t="s">
        <v>16</v>
      </c>
      <c r="AA42" s="28" t="s">
        <v>16</v>
      </c>
      <c r="AB42" s="28" t="s">
        <v>16</v>
      </c>
      <c r="AC42" s="28" t="s">
        <v>16</v>
      </c>
    </row>
    <row r="43" spans="1:29" ht="18.75" customHeight="1" x14ac:dyDescent="0.2">
      <c r="A43" s="23" t="s">
        <v>68</v>
      </c>
      <c r="B43" s="24">
        <v>3</v>
      </c>
      <c r="C43" s="24" t="s">
        <v>16</v>
      </c>
      <c r="D43" s="24" t="s">
        <v>16</v>
      </c>
      <c r="E43" s="25">
        <v>50</v>
      </c>
      <c r="F43" s="26" t="s">
        <v>15</v>
      </c>
      <c r="G43" s="27">
        <f>ROUND(312*Belarus*(1-C102),2)</f>
        <v>218.4</v>
      </c>
      <c r="H43" s="27">
        <f>ROUND(312*Belarus*(1-C102),2)</f>
        <v>218.4</v>
      </c>
      <c r="I43" s="27">
        <f>ROUND(312*Belarus*(1-C102),2)</f>
        <v>218.4</v>
      </c>
      <c r="J43" s="27">
        <f>ROUND(312*Belarus*(1-C102),2)</f>
        <v>218.4</v>
      </c>
      <c r="K43" s="27" t="s">
        <v>16</v>
      </c>
      <c r="L43" s="27" t="s">
        <v>16</v>
      </c>
      <c r="M43" s="27" t="s">
        <v>16</v>
      </c>
      <c r="N43" s="27" t="s">
        <v>16</v>
      </c>
      <c r="O43" s="27" t="s">
        <v>16</v>
      </c>
      <c r="P43" s="83" t="s">
        <v>16</v>
      </c>
      <c r="Q43" s="83"/>
      <c r="R43" s="27" t="s">
        <v>16</v>
      </c>
      <c r="S43" s="27" t="s">
        <v>16</v>
      </c>
      <c r="T43" s="92" t="s">
        <v>16</v>
      </c>
      <c r="U43" s="92"/>
      <c r="V43" s="83" t="s">
        <v>16</v>
      </c>
      <c r="W43" s="83"/>
      <c r="X43" s="83"/>
      <c r="Y43" s="83"/>
      <c r="Z43" s="28" t="s">
        <v>16</v>
      </c>
      <c r="AA43" s="28" t="s">
        <v>16</v>
      </c>
      <c r="AB43" s="28" t="s">
        <v>16</v>
      </c>
      <c r="AC43" s="28" t="s">
        <v>16</v>
      </c>
    </row>
    <row r="44" spans="1:29" ht="18.75" customHeight="1" x14ac:dyDescent="0.2">
      <c r="A44" s="23" t="s">
        <v>69</v>
      </c>
      <c r="B44" s="24">
        <v>3</v>
      </c>
      <c r="C44" s="24" t="s">
        <v>16</v>
      </c>
      <c r="D44" s="24" t="s">
        <v>16</v>
      </c>
      <c r="E44" s="25">
        <v>24</v>
      </c>
      <c r="F44" s="26" t="s">
        <v>15</v>
      </c>
      <c r="G44" s="27">
        <f>ROUND(546*Belarus*(1-C102),2)</f>
        <v>382.2</v>
      </c>
      <c r="H44" s="27" t="s">
        <v>16</v>
      </c>
      <c r="I44" s="27" t="s">
        <v>16</v>
      </c>
      <c r="J44" s="27" t="s">
        <v>16</v>
      </c>
      <c r="K44" s="27" t="s">
        <v>16</v>
      </c>
      <c r="L44" s="27" t="s">
        <v>16</v>
      </c>
      <c r="M44" s="27" t="s">
        <v>16</v>
      </c>
      <c r="N44" s="27" t="s">
        <v>16</v>
      </c>
      <c r="O44" s="27" t="s">
        <v>16</v>
      </c>
      <c r="P44" s="83" t="s">
        <v>16</v>
      </c>
      <c r="Q44" s="83"/>
      <c r="R44" s="27" t="s">
        <v>16</v>
      </c>
      <c r="S44" s="27">
        <f>ROUND(587*Belarus*(1-C102),2)</f>
        <v>410.9</v>
      </c>
      <c r="T44" s="28">
        <f>ROUND(685*Belarus*(1-C102),2)</f>
        <v>479.5</v>
      </c>
      <c r="U44" s="28" t="s">
        <v>16</v>
      </c>
      <c r="V44" s="83" t="s">
        <v>16</v>
      </c>
      <c r="W44" s="83"/>
      <c r="X44" s="83"/>
      <c r="Y44" s="83"/>
      <c r="Z44" s="28" t="s">
        <v>16</v>
      </c>
      <c r="AA44" s="28" t="s">
        <v>16</v>
      </c>
      <c r="AB44" s="28" t="s">
        <v>16</v>
      </c>
      <c r="AC44" s="28" t="s">
        <v>16</v>
      </c>
    </row>
    <row r="45" spans="1:29" ht="18.75" customHeight="1" x14ac:dyDescent="0.2">
      <c r="A45" s="23" t="s">
        <v>70</v>
      </c>
      <c r="B45" s="24">
        <v>3</v>
      </c>
      <c r="C45" s="24" t="s">
        <v>16</v>
      </c>
      <c r="D45" s="24" t="s">
        <v>16</v>
      </c>
      <c r="E45" s="25">
        <v>20</v>
      </c>
      <c r="F45" s="26" t="s">
        <v>15</v>
      </c>
      <c r="G45" s="29">
        <f>ROUND(546*Belarus*(1-C102),2)</f>
        <v>382.2</v>
      </c>
      <c r="H45" s="29" t="s">
        <v>16</v>
      </c>
      <c r="I45" s="29" t="s">
        <v>16</v>
      </c>
      <c r="J45" s="29" t="s">
        <v>16</v>
      </c>
      <c r="K45" s="29" t="s">
        <v>16</v>
      </c>
      <c r="L45" s="29" t="s">
        <v>16</v>
      </c>
      <c r="M45" s="29" t="s">
        <v>16</v>
      </c>
      <c r="N45" s="29" t="s">
        <v>16</v>
      </c>
      <c r="O45" s="29" t="s">
        <v>16</v>
      </c>
      <c r="P45" s="83" t="s">
        <v>16</v>
      </c>
      <c r="Q45" s="83"/>
      <c r="R45" s="29" t="s">
        <v>16</v>
      </c>
      <c r="S45" s="29">
        <f>ROUND(587*Belarus*(1-C102),2)</f>
        <v>410.9</v>
      </c>
      <c r="T45" s="28">
        <f>ROUND(553*Belarus*(1-C102),2)</f>
        <v>387.1</v>
      </c>
      <c r="U45" s="28">
        <f>ROUND(379*Belarus*(1-C102),2)</f>
        <v>265.3</v>
      </c>
      <c r="V45" s="83" t="s">
        <v>16</v>
      </c>
      <c r="W45" s="83"/>
      <c r="X45" s="83"/>
      <c r="Y45" s="83"/>
      <c r="Z45" s="28" t="s">
        <v>16</v>
      </c>
      <c r="AA45" s="28" t="s">
        <v>16</v>
      </c>
      <c r="AB45" s="28" t="s">
        <v>16</v>
      </c>
      <c r="AC45" s="28" t="s">
        <v>16</v>
      </c>
    </row>
    <row r="46" spans="1:29" ht="18.75" customHeight="1" x14ac:dyDescent="0.2">
      <c r="A46" s="23" t="s">
        <v>71</v>
      </c>
      <c r="B46" s="24">
        <v>3.05</v>
      </c>
      <c r="C46" s="24" t="s">
        <v>16</v>
      </c>
      <c r="D46" s="24" t="s">
        <v>16</v>
      </c>
      <c r="E46" s="25">
        <v>12</v>
      </c>
      <c r="F46" s="26" t="s">
        <v>15</v>
      </c>
      <c r="G46" s="29">
        <f>ROUND(546*Belarus*(1-C102),2)</f>
        <v>382.2</v>
      </c>
      <c r="H46" s="29" t="s">
        <v>16</v>
      </c>
      <c r="I46" s="29" t="s">
        <v>16</v>
      </c>
      <c r="J46" s="29" t="s">
        <v>16</v>
      </c>
      <c r="K46" s="29" t="s">
        <v>16</v>
      </c>
      <c r="L46" s="29" t="s">
        <v>16</v>
      </c>
      <c r="M46" s="29" t="s">
        <v>16</v>
      </c>
      <c r="N46" s="29" t="s">
        <v>16</v>
      </c>
      <c r="O46" s="29" t="s">
        <v>16</v>
      </c>
      <c r="P46" s="83" t="s">
        <v>16</v>
      </c>
      <c r="Q46" s="83"/>
      <c r="R46" s="27" t="s">
        <v>16</v>
      </c>
      <c r="S46" s="27">
        <f>ROUND(587*Belarus*(1-C102),2)</f>
        <v>410.9</v>
      </c>
      <c r="T46" s="28">
        <f>ROUND(685*Belarus*(1-C102),2)</f>
        <v>479.5</v>
      </c>
      <c r="U46" s="28">
        <f>ROUND(493*Belarus*(1-C102),2)</f>
        <v>345.1</v>
      </c>
      <c r="V46" s="83" t="s">
        <v>16</v>
      </c>
      <c r="W46" s="83"/>
      <c r="X46" s="83"/>
      <c r="Y46" s="83"/>
      <c r="Z46" s="28" t="s">
        <v>16</v>
      </c>
      <c r="AA46" s="28" t="s">
        <v>16</v>
      </c>
      <c r="AB46" s="28" t="s">
        <v>16</v>
      </c>
      <c r="AC46" s="28" t="s">
        <v>16</v>
      </c>
    </row>
    <row r="47" spans="1:29" ht="18.75" customHeight="1" x14ac:dyDescent="0.2">
      <c r="A47" s="23" t="s">
        <v>72</v>
      </c>
      <c r="B47" s="24">
        <v>3</v>
      </c>
      <c r="C47" s="24" t="s">
        <v>16</v>
      </c>
      <c r="D47" s="24" t="s">
        <v>16</v>
      </c>
      <c r="E47" s="25">
        <v>36</v>
      </c>
      <c r="F47" s="26" t="s">
        <v>15</v>
      </c>
      <c r="G47" s="29">
        <f>ROUND(420*Belarus*(1-C102),2)</f>
        <v>294</v>
      </c>
      <c r="H47" s="29" t="s">
        <v>16</v>
      </c>
      <c r="I47" s="29" t="s">
        <v>16</v>
      </c>
      <c r="J47" s="29" t="s">
        <v>16</v>
      </c>
      <c r="K47" s="29" t="s">
        <v>16</v>
      </c>
      <c r="L47" s="29" t="s">
        <v>16</v>
      </c>
      <c r="M47" s="29" t="s">
        <v>16</v>
      </c>
      <c r="N47" s="29" t="s">
        <v>16</v>
      </c>
      <c r="O47" s="29" t="s">
        <v>16</v>
      </c>
      <c r="P47" s="83" t="s">
        <v>16</v>
      </c>
      <c r="Q47" s="83"/>
      <c r="R47" s="27" t="s">
        <v>16</v>
      </c>
      <c r="S47" s="27">
        <f>ROUND(399*Belarus*(1-C102),2)</f>
        <v>279.3</v>
      </c>
      <c r="T47" s="84" t="s">
        <v>16</v>
      </c>
      <c r="U47" s="84"/>
      <c r="V47" s="83" t="s">
        <v>16</v>
      </c>
      <c r="W47" s="83"/>
      <c r="X47" s="83"/>
      <c r="Y47" s="83"/>
      <c r="Z47" s="28" t="s">
        <v>16</v>
      </c>
      <c r="AA47" s="28" t="s">
        <v>16</v>
      </c>
      <c r="AB47" s="28" t="s">
        <v>16</v>
      </c>
      <c r="AC47" s="28" t="s">
        <v>16</v>
      </c>
    </row>
    <row r="48" spans="1:29" ht="18.75" customHeight="1" x14ac:dyDescent="0.2">
      <c r="A48" s="23" t="s">
        <v>73</v>
      </c>
      <c r="B48" s="24">
        <v>3</v>
      </c>
      <c r="C48" s="24" t="s">
        <v>16</v>
      </c>
      <c r="D48" s="24" t="s">
        <v>16</v>
      </c>
      <c r="E48" s="25">
        <v>60</v>
      </c>
      <c r="F48" s="26" t="s">
        <v>15</v>
      </c>
      <c r="G48" s="29">
        <f>ROUND(233*Belarus*(1-C102),2)</f>
        <v>163.1</v>
      </c>
      <c r="H48" s="29" t="s">
        <v>16</v>
      </c>
      <c r="I48" s="29" t="s">
        <v>16</v>
      </c>
      <c r="J48" s="29" t="s">
        <v>16</v>
      </c>
      <c r="K48" s="29" t="s">
        <v>16</v>
      </c>
      <c r="L48" s="29" t="s">
        <v>16</v>
      </c>
      <c r="M48" s="29" t="s">
        <v>16</v>
      </c>
      <c r="N48" s="29" t="s">
        <v>16</v>
      </c>
      <c r="O48" s="29" t="s">
        <v>16</v>
      </c>
      <c r="P48" s="83" t="s">
        <v>16</v>
      </c>
      <c r="Q48" s="83"/>
      <c r="R48" s="27" t="s">
        <v>16</v>
      </c>
      <c r="S48" s="27" t="s">
        <v>16</v>
      </c>
      <c r="T48" s="84" t="s">
        <v>16</v>
      </c>
      <c r="U48" s="84"/>
      <c r="V48" s="83" t="s">
        <v>16</v>
      </c>
      <c r="W48" s="83"/>
      <c r="X48" s="83"/>
      <c r="Y48" s="83"/>
      <c r="Z48" s="28" t="s">
        <v>16</v>
      </c>
      <c r="AA48" s="28" t="s">
        <v>16</v>
      </c>
      <c r="AB48" s="28" t="s">
        <v>16</v>
      </c>
      <c r="AC48" s="28" t="s">
        <v>16</v>
      </c>
    </row>
    <row r="49" spans="1:29" ht="15" x14ac:dyDescent="0.2">
      <c r="A49" s="79" t="s">
        <v>74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</row>
    <row r="50" spans="1:29" ht="18.75" customHeight="1" x14ac:dyDescent="0.2">
      <c r="A50" s="31" t="s">
        <v>75</v>
      </c>
      <c r="B50" s="24">
        <v>3</v>
      </c>
      <c r="C50" s="24" t="s">
        <v>16</v>
      </c>
      <c r="D50" s="24" t="s">
        <v>16</v>
      </c>
      <c r="E50" s="25">
        <v>10</v>
      </c>
      <c r="F50" s="26" t="s">
        <v>15</v>
      </c>
      <c r="G50" s="29">
        <f>ROUND(239*Belarus*(1-C101),2)</f>
        <v>239</v>
      </c>
      <c r="H50" s="29">
        <f>ROUND(184*Belarus*(1-C101),2)</f>
        <v>184</v>
      </c>
      <c r="I50" s="29">
        <f>ROUND(184*Belarus*(1-C101),2)</f>
        <v>184</v>
      </c>
      <c r="J50" s="29" t="s">
        <v>16</v>
      </c>
      <c r="K50" s="29" t="s">
        <v>16</v>
      </c>
      <c r="L50" s="29" t="s">
        <v>16</v>
      </c>
      <c r="M50" s="29" t="s">
        <v>16</v>
      </c>
      <c r="N50" s="29" t="s">
        <v>16</v>
      </c>
      <c r="O50" s="29" t="s">
        <v>16</v>
      </c>
      <c r="P50" s="29">
        <f>ROUND(370*Belarus*(1-C101),2)</f>
        <v>370</v>
      </c>
      <c r="Q50" s="29" t="s">
        <v>16</v>
      </c>
      <c r="R50" s="29" t="s">
        <v>16</v>
      </c>
      <c r="S50" s="29" t="s">
        <v>16</v>
      </c>
      <c r="T50" s="28">
        <f>ROUND(326*Belarus*(1-C101),2)</f>
        <v>326</v>
      </c>
      <c r="U50" s="28">
        <f>ROUND(295*Belarus*(1-C101),2)</f>
        <v>295</v>
      </c>
      <c r="V50" s="29" t="s">
        <v>16</v>
      </c>
      <c r="W50" s="29" t="s">
        <v>16</v>
      </c>
      <c r="X50" s="29" t="s">
        <v>16</v>
      </c>
      <c r="Y50" s="29" t="s">
        <v>16</v>
      </c>
      <c r="Z50" s="28" t="s">
        <v>16</v>
      </c>
      <c r="AA50" s="28" t="s">
        <v>16</v>
      </c>
      <c r="AB50" s="28" t="s">
        <v>16</v>
      </c>
      <c r="AC50" s="28" t="s">
        <v>16</v>
      </c>
    </row>
    <row r="51" spans="1:29" ht="18.75" customHeight="1" x14ac:dyDescent="0.2">
      <c r="A51" s="31" t="s">
        <v>76</v>
      </c>
      <c r="B51" s="24">
        <v>3</v>
      </c>
      <c r="C51" s="24" t="s">
        <v>16</v>
      </c>
      <c r="D51" s="24" t="s">
        <v>16</v>
      </c>
      <c r="E51" s="25">
        <v>10</v>
      </c>
      <c r="F51" s="26" t="s">
        <v>15</v>
      </c>
      <c r="G51" s="29">
        <f>ROUND(576*Belarus*(1-C101),2)</f>
        <v>576</v>
      </c>
      <c r="H51" s="29" t="s">
        <v>16</v>
      </c>
      <c r="I51" s="29" t="s">
        <v>16</v>
      </c>
      <c r="J51" s="29" t="s">
        <v>16</v>
      </c>
      <c r="K51" s="29" t="s">
        <v>16</v>
      </c>
      <c r="L51" s="29" t="s">
        <v>16</v>
      </c>
      <c r="M51" s="29" t="s">
        <v>16</v>
      </c>
      <c r="N51" s="29" t="s">
        <v>16</v>
      </c>
      <c r="O51" s="29" t="s">
        <v>16</v>
      </c>
      <c r="P51" s="29" t="s">
        <v>16</v>
      </c>
      <c r="Q51" s="29" t="s">
        <v>16</v>
      </c>
      <c r="R51" s="29" t="s">
        <v>16</v>
      </c>
      <c r="S51" s="29" t="s">
        <v>16</v>
      </c>
      <c r="T51" s="28">
        <f>ROUND(1010*Belarus*(1-C101),2)</f>
        <v>1010</v>
      </c>
      <c r="U51" s="28" t="s">
        <v>16</v>
      </c>
      <c r="V51" s="29" t="s">
        <v>16</v>
      </c>
      <c r="W51" s="29" t="s">
        <v>16</v>
      </c>
      <c r="X51" s="29" t="s">
        <v>16</v>
      </c>
      <c r="Y51" s="29" t="s">
        <v>16</v>
      </c>
      <c r="Z51" s="28" t="s">
        <v>16</v>
      </c>
      <c r="AA51" s="28" t="s">
        <v>16</v>
      </c>
      <c r="AB51" s="28" t="s">
        <v>16</v>
      </c>
      <c r="AC51" s="28" t="s">
        <v>16</v>
      </c>
    </row>
    <row r="52" spans="1:29" ht="18.75" customHeight="1" x14ac:dyDescent="0.2">
      <c r="A52" s="31" t="s">
        <v>77</v>
      </c>
      <c r="B52" s="24">
        <v>3</v>
      </c>
      <c r="C52" s="24" t="s">
        <v>16</v>
      </c>
      <c r="D52" s="24" t="s">
        <v>16</v>
      </c>
      <c r="E52" s="25">
        <v>6</v>
      </c>
      <c r="F52" s="26" t="s">
        <v>15</v>
      </c>
      <c r="G52" s="29">
        <f>ROUND(365*Belarus*(1-C101),2)</f>
        <v>365</v>
      </c>
      <c r="H52" s="29">
        <f>ROUND(263*Belarus*(1-C101),2)</f>
        <v>263</v>
      </c>
      <c r="I52" s="29">
        <f>ROUND(263*Belarus*(1-C101),2)</f>
        <v>263</v>
      </c>
      <c r="J52" s="29" t="s">
        <v>16</v>
      </c>
      <c r="K52" s="29" t="s">
        <v>16</v>
      </c>
      <c r="L52" s="29" t="s">
        <v>16</v>
      </c>
      <c r="M52" s="29" t="s">
        <v>16</v>
      </c>
      <c r="N52" s="29" t="s">
        <v>16</v>
      </c>
      <c r="O52" s="29" t="s">
        <v>16</v>
      </c>
      <c r="P52" s="29">
        <f>ROUND(406*Belarus*(1-C101),2)</f>
        <v>406</v>
      </c>
      <c r="Q52" s="29" t="s">
        <v>16</v>
      </c>
      <c r="R52" s="29" t="s">
        <v>16</v>
      </c>
      <c r="S52" s="29" t="s">
        <v>16</v>
      </c>
      <c r="T52" s="28">
        <f>ROUND(583*Belarus*(1-C101),2)</f>
        <v>583</v>
      </c>
      <c r="U52" s="28" t="s">
        <v>16</v>
      </c>
      <c r="V52" s="29" t="s">
        <v>16</v>
      </c>
      <c r="W52" s="29" t="s">
        <v>16</v>
      </c>
      <c r="X52" s="29" t="s">
        <v>16</v>
      </c>
      <c r="Y52" s="29" t="s">
        <v>16</v>
      </c>
      <c r="Z52" s="28" t="s">
        <v>16</v>
      </c>
      <c r="AA52" s="28" t="s">
        <v>16</v>
      </c>
      <c r="AB52" s="28" t="s">
        <v>16</v>
      </c>
      <c r="AC52" s="28" t="s">
        <v>16</v>
      </c>
    </row>
    <row r="53" spans="1:29" ht="18.75" customHeight="1" x14ac:dyDescent="0.2">
      <c r="A53" s="31" t="s">
        <v>78</v>
      </c>
      <c r="B53" s="24">
        <v>3</v>
      </c>
      <c r="C53" s="24" t="s">
        <v>16</v>
      </c>
      <c r="D53" s="24" t="s">
        <v>16</v>
      </c>
      <c r="E53" s="25">
        <v>45</v>
      </c>
      <c r="F53" s="26" t="s">
        <v>15</v>
      </c>
      <c r="G53" s="29">
        <f>ROUND(140*Belarus*(1-C101),2)</f>
        <v>140</v>
      </c>
      <c r="H53" s="29">
        <f>ROUND(140*Belarus*(1-C101),2)</f>
        <v>140</v>
      </c>
      <c r="I53" s="29">
        <f>ROUND(140*Belarus*(1-C101),2)</f>
        <v>140</v>
      </c>
      <c r="J53" s="29" t="s">
        <v>16</v>
      </c>
      <c r="K53" s="29" t="s">
        <v>16</v>
      </c>
      <c r="L53" s="29" t="s">
        <v>16</v>
      </c>
      <c r="M53" s="29" t="s">
        <v>16</v>
      </c>
      <c r="N53" s="29" t="s">
        <v>16</v>
      </c>
      <c r="O53" s="29" t="s">
        <v>16</v>
      </c>
      <c r="P53" s="29">
        <f>ROUND(194*Belarus*(1-C101),2)</f>
        <v>194</v>
      </c>
      <c r="Q53" s="29" t="s">
        <v>16</v>
      </c>
      <c r="R53" s="29" t="s">
        <v>16</v>
      </c>
      <c r="S53" s="29" t="s">
        <v>16</v>
      </c>
      <c r="T53" s="28">
        <f>ROUND(278*Belarus*(1-C101),2)</f>
        <v>278</v>
      </c>
      <c r="U53" s="28">
        <f>ROUND(154*Belarus*(1-C101),2)</f>
        <v>154</v>
      </c>
      <c r="V53" s="29" t="s">
        <v>16</v>
      </c>
      <c r="W53" s="29" t="s">
        <v>16</v>
      </c>
      <c r="X53" s="29" t="s">
        <v>16</v>
      </c>
      <c r="Y53" s="29" t="s">
        <v>16</v>
      </c>
      <c r="Z53" s="28" t="s">
        <v>16</v>
      </c>
      <c r="AA53" s="28" t="s">
        <v>16</v>
      </c>
      <c r="AB53" s="28" t="s">
        <v>16</v>
      </c>
      <c r="AC53" s="28" t="s">
        <v>16</v>
      </c>
    </row>
    <row r="54" spans="1:29" ht="15.75" customHeight="1" x14ac:dyDescent="0.2"/>
    <row r="55" spans="1:29" ht="15.75" customHeight="1" x14ac:dyDescent="0.2">
      <c r="A55" s="85" t="s">
        <v>21</v>
      </c>
      <c r="B55" s="86"/>
      <c r="C55" s="86"/>
      <c r="D55" s="86"/>
      <c r="E55" s="86"/>
      <c r="F55" s="87"/>
      <c r="G55" s="81" t="s">
        <v>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</row>
    <row r="56" spans="1:29" ht="15.75" customHeight="1" x14ac:dyDescent="0.2">
      <c r="A56" s="88"/>
      <c r="B56" s="89"/>
      <c r="C56" s="89"/>
      <c r="D56" s="89"/>
      <c r="E56" s="89"/>
      <c r="F56" s="90"/>
      <c r="G56" s="76" t="s">
        <v>79</v>
      </c>
      <c r="H56" s="80"/>
      <c r="I56" s="80"/>
      <c r="J56" s="80"/>
      <c r="K56" s="80"/>
      <c r="L56" s="91"/>
      <c r="M56" s="81" t="s">
        <v>22</v>
      </c>
      <c r="N56" s="81"/>
      <c r="O56" s="81"/>
      <c r="P56" s="81"/>
      <c r="Q56" s="81"/>
      <c r="R56" s="81"/>
      <c r="S56" s="81"/>
      <c r="T56" s="81"/>
      <c r="U56" s="81"/>
      <c r="V56" s="82" t="s">
        <v>80</v>
      </c>
      <c r="W56" s="82"/>
      <c r="X56" s="82"/>
      <c r="Y56" s="82"/>
      <c r="Z56" s="82"/>
      <c r="AA56" s="82"/>
      <c r="AB56" s="82"/>
      <c r="AC56" s="82"/>
    </row>
    <row r="57" spans="1:29" ht="28.5" customHeight="1" x14ac:dyDescent="0.25">
      <c r="A57" s="16" t="s">
        <v>2</v>
      </c>
      <c r="B57" s="16" t="s">
        <v>29</v>
      </c>
      <c r="C57" s="16" t="s">
        <v>30</v>
      </c>
      <c r="D57" s="16" t="s">
        <v>31</v>
      </c>
      <c r="E57" s="16" t="s">
        <v>32</v>
      </c>
      <c r="F57" s="16" t="s">
        <v>7</v>
      </c>
      <c r="G57" s="76" t="s">
        <v>33</v>
      </c>
      <c r="H57" s="80"/>
      <c r="I57" s="80"/>
      <c r="J57" s="76" t="s">
        <v>28</v>
      </c>
      <c r="K57" s="80"/>
      <c r="L57" s="80"/>
      <c r="M57" s="81" t="s">
        <v>33</v>
      </c>
      <c r="N57" s="81"/>
      <c r="O57" s="81"/>
      <c r="P57" s="81" t="s">
        <v>28</v>
      </c>
      <c r="Q57" s="81"/>
      <c r="R57" s="81"/>
      <c r="S57" s="81" t="s">
        <v>45</v>
      </c>
      <c r="T57" s="81"/>
      <c r="U57" s="81"/>
      <c r="V57" s="82" t="s">
        <v>33</v>
      </c>
      <c r="W57" s="82"/>
      <c r="X57" s="82"/>
      <c r="Y57" s="82"/>
      <c r="Z57" s="76" t="s">
        <v>28</v>
      </c>
      <c r="AA57" s="77"/>
      <c r="AB57" s="77"/>
      <c r="AC57" s="78"/>
    </row>
    <row r="58" spans="1:29" ht="15.75" customHeight="1" x14ac:dyDescent="0.2">
      <c r="A58" s="79" t="s">
        <v>81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1:29" ht="18" customHeight="1" x14ac:dyDescent="0.2">
      <c r="A59" s="36" t="s">
        <v>82</v>
      </c>
      <c r="B59" s="72">
        <v>3</v>
      </c>
      <c r="C59" s="73">
        <v>0.246</v>
      </c>
      <c r="D59" s="74">
        <v>0.73799999999999999</v>
      </c>
      <c r="E59" s="75">
        <v>22</v>
      </c>
      <c r="F59" s="17" t="s">
        <v>15</v>
      </c>
      <c r="G59" s="54">
        <f>ROUND(358*Belarus*(1-C98),2)</f>
        <v>340.1</v>
      </c>
      <c r="H59" s="55"/>
      <c r="I59" s="56"/>
      <c r="J59" s="54">
        <f>ROUND(412*Belarus*(1-C98),2)</f>
        <v>391.4</v>
      </c>
      <c r="K59" s="55"/>
      <c r="L59" s="56"/>
      <c r="M59" s="57" t="s">
        <v>16</v>
      </c>
      <c r="N59" s="58"/>
      <c r="O59" s="59"/>
      <c r="P59" s="57" t="s">
        <v>16</v>
      </c>
      <c r="Q59" s="58"/>
      <c r="R59" s="59"/>
      <c r="S59" s="57" t="s">
        <v>16</v>
      </c>
      <c r="T59" s="58"/>
      <c r="U59" s="59"/>
      <c r="V59" s="60" t="s">
        <v>16</v>
      </c>
      <c r="W59" s="60"/>
      <c r="X59" s="60"/>
      <c r="Y59" s="60"/>
      <c r="Z59" s="60" t="s">
        <v>16</v>
      </c>
      <c r="AA59" s="60"/>
      <c r="AB59" s="60"/>
      <c r="AC59" s="60"/>
    </row>
    <row r="60" spans="1:29" ht="18" customHeight="1" x14ac:dyDescent="0.2">
      <c r="A60" s="36"/>
      <c r="B60" s="72"/>
      <c r="C60" s="73"/>
      <c r="D60" s="74"/>
      <c r="E60" s="75"/>
      <c r="F60" s="20" t="s">
        <v>17</v>
      </c>
      <c r="G60" s="69">
        <f>G59/0.738</f>
        <v>460.84010840108402</v>
      </c>
      <c r="H60" s="70"/>
      <c r="I60" s="71"/>
      <c r="J60" s="69">
        <f>J59/0.738</f>
        <v>530.35230352303518</v>
      </c>
      <c r="K60" s="70"/>
      <c r="L60" s="71"/>
      <c r="M60" s="50" t="s">
        <v>16</v>
      </c>
      <c r="N60" s="51"/>
      <c r="O60" s="52"/>
      <c r="P60" s="50" t="s">
        <v>16</v>
      </c>
      <c r="Q60" s="51"/>
      <c r="R60" s="52"/>
      <c r="S60" s="50" t="s">
        <v>16</v>
      </c>
      <c r="T60" s="51"/>
      <c r="U60" s="52"/>
      <c r="V60" s="53" t="s">
        <v>16</v>
      </c>
      <c r="W60" s="53"/>
      <c r="X60" s="53"/>
      <c r="Y60" s="53"/>
      <c r="Z60" s="53" t="s">
        <v>16</v>
      </c>
      <c r="AA60" s="53"/>
      <c r="AB60" s="53"/>
      <c r="AC60" s="53"/>
    </row>
    <row r="61" spans="1:29" ht="18" customHeight="1" x14ac:dyDescent="0.2">
      <c r="A61" s="61" t="s">
        <v>83</v>
      </c>
      <c r="B61" s="72">
        <v>3</v>
      </c>
      <c r="C61" s="73">
        <v>0.30299999999999999</v>
      </c>
      <c r="D61" s="74">
        <v>0.90900000000000003</v>
      </c>
      <c r="E61" s="75">
        <v>22</v>
      </c>
      <c r="F61" s="17" t="s">
        <v>15</v>
      </c>
      <c r="G61" s="54" t="s">
        <v>16</v>
      </c>
      <c r="H61" s="55"/>
      <c r="I61" s="56"/>
      <c r="J61" s="54" t="s">
        <v>16</v>
      </c>
      <c r="K61" s="55"/>
      <c r="L61" s="56"/>
      <c r="M61" s="57">
        <f>ROUND(358*Belarus*(1-C99),2)</f>
        <v>286.39999999999998</v>
      </c>
      <c r="N61" s="58"/>
      <c r="O61" s="59"/>
      <c r="P61" s="57">
        <f>ROUND(412*Belarus*(1-C99),2)</f>
        <v>329.6</v>
      </c>
      <c r="Q61" s="58"/>
      <c r="R61" s="59"/>
      <c r="S61" s="57" t="s">
        <v>16</v>
      </c>
      <c r="T61" s="58"/>
      <c r="U61" s="59"/>
      <c r="V61" s="60" t="s">
        <v>16</v>
      </c>
      <c r="W61" s="60"/>
      <c r="X61" s="60"/>
      <c r="Y61" s="60"/>
      <c r="Z61" s="60" t="s">
        <v>16</v>
      </c>
      <c r="AA61" s="60"/>
      <c r="AB61" s="60"/>
      <c r="AC61" s="60"/>
    </row>
    <row r="62" spans="1:29" ht="18" customHeight="1" x14ac:dyDescent="0.2">
      <c r="A62" s="62"/>
      <c r="B62" s="72"/>
      <c r="C62" s="73"/>
      <c r="D62" s="74"/>
      <c r="E62" s="75"/>
      <c r="F62" s="20" t="s">
        <v>17</v>
      </c>
      <c r="G62" s="69" t="s">
        <v>16</v>
      </c>
      <c r="H62" s="70"/>
      <c r="I62" s="71"/>
      <c r="J62" s="69" t="s">
        <v>16</v>
      </c>
      <c r="K62" s="70"/>
      <c r="L62" s="71"/>
      <c r="M62" s="50">
        <f>M61/0.909</f>
        <v>315.07150715071504</v>
      </c>
      <c r="N62" s="51"/>
      <c r="O62" s="52"/>
      <c r="P62" s="50">
        <f>P61/0.909</f>
        <v>362.5962596259626</v>
      </c>
      <c r="Q62" s="51"/>
      <c r="R62" s="52"/>
      <c r="S62" s="50" t="s">
        <v>16</v>
      </c>
      <c r="T62" s="51"/>
      <c r="U62" s="52"/>
      <c r="V62" s="53" t="s">
        <v>16</v>
      </c>
      <c r="W62" s="53"/>
      <c r="X62" s="53"/>
      <c r="Y62" s="53"/>
      <c r="Z62" s="53" t="s">
        <v>16</v>
      </c>
      <c r="AA62" s="53"/>
      <c r="AB62" s="53"/>
      <c r="AC62" s="53"/>
    </row>
    <row r="63" spans="1:29" ht="18" customHeight="1" x14ac:dyDescent="0.2">
      <c r="A63" s="61" t="s">
        <v>84</v>
      </c>
      <c r="B63" s="72">
        <v>3</v>
      </c>
      <c r="C63" s="73">
        <v>0.30299999999999999</v>
      </c>
      <c r="D63" s="74">
        <v>0.90900000000000003</v>
      </c>
      <c r="E63" s="75">
        <v>22</v>
      </c>
      <c r="F63" s="17" t="s">
        <v>15</v>
      </c>
      <c r="G63" s="54" t="s">
        <v>16</v>
      </c>
      <c r="H63" s="55"/>
      <c r="I63" s="56"/>
      <c r="J63" s="54" t="s">
        <v>16</v>
      </c>
      <c r="K63" s="55"/>
      <c r="L63" s="56"/>
      <c r="M63" s="57">
        <f>ROUND(358*Belarus*(1-C99),2)</f>
        <v>286.39999999999998</v>
      </c>
      <c r="N63" s="58"/>
      <c r="O63" s="59"/>
      <c r="P63" s="57">
        <f>ROUND(412*Belarus*(1-C99),2)</f>
        <v>329.6</v>
      </c>
      <c r="Q63" s="58"/>
      <c r="R63" s="59"/>
      <c r="S63" s="57">
        <f>ROUND(638*Belarus*(1-C99),2)</f>
        <v>510.4</v>
      </c>
      <c r="T63" s="58"/>
      <c r="U63" s="59"/>
      <c r="V63" s="60" t="s">
        <v>16</v>
      </c>
      <c r="W63" s="60"/>
      <c r="X63" s="60"/>
      <c r="Y63" s="60"/>
      <c r="Z63" s="60" t="s">
        <v>16</v>
      </c>
      <c r="AA63" s="60"/>
      <c r="AB63" s="60"/>
      <c r="AC63" s="60"/>
    </row>
    <row r="64" spans="1:29" ht="18" customHeight="1" x14ac:dyDescent="0.2">
      <c r="A64" s="62"/>
      <c r="B64" s="72"/>
      <c r="C64" s="73"/>
      <c r="D64" s="74"/>
      <c r="E64" s="75"/>
      <c r="F64" s="20" t="s">
        <v>17</v>
      </c>
      <c r="G64" s="69" t="s">
        <v>16</v>
      </c>
      <c r="H64" s="70"/>
      <c r="I64" s="71"/>
      <c r="J64" s="69" t="s">
        <v>16</v>
      </c>
      <c r="K64" s="70"/>
      <c r="L64" s="71"/>
      <c r="M64" s="50">
        <f>M63/0.909</f>
        <v>315.07150715071504</v>
      </c>
      <c r="N64" s="51"/>
      <c r="O64" s="52"/>
      <c r="P64" s="50">
        <f>P63/0.909</f>
        <v>362.5962596259626</v>
      </c>
      <c r="Q64" s="51"/>
      <c r="R64" s="52"/>
      <c r="S64" s="50">
        <f>S63/0.909</f>
        <v>561.4961496149615</v>
      </c>
      <c r="T64" s="51"/>
      <c r="U64" s="52"/>
      <c r="V64" s="53" t="s">
        <v>16</v>
      </c>
      <c r="W64" s="53"/>
      <c r="X64" s="53"/>
      <c r="Y64" s="53"/>
      <c r="Z64" s="53" t="s">
        <v>16</v>
      </c>
      <c r="AA64" s="53"/>
      <c r="AB64" s="53"/>
      <c r="AC64" s="53"/>
    </row>
    <row r="65" spans="1:29" ht="25.5" customHeight="1" x14ac:dyDescent="0.2">
      <c r="A65" s="61" t="s">
        <v>85</v>
      </c>
      <c r="B65" s="63">
        <v>3</v>
      </c>
      <c r="C65" s="65">
        <v>0.22900000000000001</v>
      </c>
      <c r="D65" s="65">
        <v>0.68700000000000006</v>
      </c>
      <c r="E65" s="67">
        <v>22</v>
      </c>
      <c r="F65" s="17" t="s">
        <v>15</v>
      </c>
      <c r="G65" s="54" t="s">
        <v>16</v>
      </c>
      <c r="H65" s="55"/>
      <c r="I65" s="56"/>
      <c r="J65" s="54" t="s">
        <v>16</v>
      </c>
      <c r="K65" s="55"/>
      <c r="L65" s="56"/>
      <c r="M65" s="57" t="s">
        <v>16</v>
      </c>
      <c r="N65" s="58"/>
      <c r="O65" s="59"/>
      <c r="P65" s="57" t="s">
        <v>16</v>
      </c>
      <c r="Q65" s="58"/>
      <c r="R65" s="59"/>
      <c r="S65" s="57" t="s">
        <v>16</v>
      </c>
      <c r="T65" s="58"/>
      <c r="U65" s="59"/>
      <c r="V65" s="60">
        <f>ROUND(271*Belarus*(1-C100),2)</f>
        <v>216.8</v>
      </c>
      <c r="W65" s="60"/>
      <c r="X65" s="60"/>
      <c r="Y65" s="60"/>
      <c r="Z65" s="60">
        <f>ROUND(311*Belarus*(1-C100),2)</f>
        <v>248.8</v>
      </c>
      <c r="AA65" s="60"/>
      <c r="AB65" s="60"/>
      <c r="AC65" s="60"/>
    </row>
    <row r="66" spans="1:29" ht="25.5" customHeight="1" x14ac:dyDescent="0.2">
      <c r="A66" s="62"/>
      <c r="B66" s="64"/>
      <c r="C66" s="66"/>
      <c r="D66" s="66"/>
      <c r="E66" s="68"/>
      <c r="F66" s="20" t="s">
        <v>17</v>
      </c>
      <c r="G66" s="69" t="s">
        <v>16</v>
      </c>
      <c r="H66" s="70"/>
      <c r="I66" s="71"/>
      <c r="J66" s="69" t="s">
        <v>16</v>
      </c>
      <c r="K66" s="70"/>
      <c r="L66" s="71"/>
      <c r="M66" s="50" t="s">
        <v>16</v>
      </c>
      <c r="N66" s="51"/>
      <c r="O66" s="52"/>
      <c r="P66" s="50" t="s">
        <v>16</v>
      </c>
      <c r="Q66" s="51"/>
      <c r="R66" s="52"/>
      <c r="S66" s="50" t="s">
        <v>16</v>
      </c>
      <c r="T66" s="51"/>
      <c r="U66" s="52"/>
      <c r="V66" s="53">
        <f>V65/0.687</f>
        <v>315.57496360989808</v>
      </c>
      <c r="W66" s="53"/>
      <c r="X66" s="53"/>
      <c r="Y66" s="53"/>
      <c r="Z66" s="53">
        <f>Z65/0.687</f>
        <v>362.1542940320233</v>
      </c>
      <c r="AA66" s="53"/>
      <c r="AB66" s="53"/>
      <c r="AC66" s="53"/>
    </row>
    <row r="68" spans="1:29" ht="12.75" customHeight="1" x14ac:dyDescent="0.2">
      <c r="A68" s="46" t="s">
        <v>86</v>
      </c>
      <c r="B68" s="47"/>
      <c r="C68" s="47"/>
      <c r="D68" s="48"/>
      <c r="E68" s="43" t="s">
        <v>87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9" t="s">
        <v>88</v>
      </c>
      <c r="X68" s="49"/>
      <c r="Y68" s="49"/>
      <c r="Z68" s="49"/>
      <c r="AA68" s="49"/>
      <c r="AB68" s="49"/>
      <c r="AC68" s="49"/>
    </row>
    <row r="69" spans="1:29" ht="12.75" customHeight="1" x14ac:dyDescent="0.2">
      <c r="A69" s="44" t="s">
        <v>89</v>
      </c>
      <c r="B69" s="44"/>
      <c r="C69" s="44"/>
      <c r="D69" s="44"/>
      <c r="E69" s="44" t="s">
        <v>90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5">
        <f>2600*Belarus</f>
        <v>2600</v>
      </c>
      <c r="X69" s="45"/>
      <c r="Y69" s="45"/>
      <c r="Z69" s="45"/>
      <c r="AA69" s="45"/>
      <c r="AB69" s="45"/>
      <c r="AC69" s="45"/>
    </row>
    <row r="70" spans="1:29" ht="12.75" customHeight="1" x14ac:dyDescent="0.2">
      <c r="A70" s="44" t="s">
        <v>91</v>
      </c>
      <c r="B70" s="44"/>
      <c r="C70" s="44"/>
      <c r="D70" s="44"/>
      <c r="E70" s="44" t="s">
        <v>92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>
        <f>5400*Belarus</f>
        <v>5400</v>
      </c>
      <c r="X70" s="45"/>
      <c r="Y70" s="45"/>
      <c r="Z70" s="45"/>
      <c r="AA70" s="45"/>
      <c r="AB70" s="45"/>
      <c r="AC70" s="45"/>
    </row>
    <row r="71" spans="1:29" ht="12.75" customHeight="1" x14ac:dyDescent="0.2">
      <c r="A71" s="44" t="s">
        <v>93</v>
      </c>
      <c r="B71" s="44"/>
      <c r="C71" s="44"/>
      <c r="D71" s="44"/>
      <c r="E71" s="44" t="s">
        <v>94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5">
        <f>800*Belarus</f>
        <v>800</v>
      </c>
      <c r="X71" s="45"/>
      <c r="Y71" s="45"/>
      <c r="Z71" s="45"/>
      <c r="AA71" s="45"/>
      <c r="AB71" s="45"/>
      <c r="AC71" s="45"/>
    </row>
    <row r="72" spans="1:29" ht="12.75" customHeight="1" x14ac:dyDescent="0.2">
      <c r="A72" s="44" t="s">
        <v>95</v>
      </c>
      <c r="B72" s="44"/>
      <c r="C72" s="44"/>
      <c r="D72" s="44"/>
      <c r="E72" s="44" t="s">
        <v>96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5">
        <f>620*Belarus</f>
        <v>620</v>
      </c>
      <c r="X72" s="45"/>
      <c r="Y72" s="45"/>
      <c r="Z72" s="45"/>
      <c r="AA72" s="45"/>
      <c r="AB72" s="45"/>
      <c r="AC72" s="45"/>
    </row>
    <row r="73" spans="1:29" ht="12.75" customHeight="1" x14ac:dyDescent="0.2">
      <c r="A73" s="44" t="s">
        <v>97</v>
      </c>
      <c r="B73" s="44"/>
      <c r="C73" s="44"/>
      <c r="D73" s="44"/>
      <c r="E73" s="44" t="s">
        <v>98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5" t="str">
        <f>(60*Belarus)&amp;" / "&amp;(65*Belarus)&amp;" / "&amp;(70*Belarus)</f>
        <v>60 / 65 / 70</v>
      </c>
      <c r="X73" s="45"/>
      <c r="Y73" s="45"/>
      <c r="Z73" s="45"/>
      <c r="AA73" s="45"/>
      <c r="AB73" s="45"/>
      <c r="AC73" s="45"/>
    </row>
    <row r="74" spans="1:29" ht="12.75" customHeight="1" x14ac:dyDescent="0.2">
      <c r="A74" s="44" t="s">
        <v>99</v>
      </c>
      <c r="B74" s="44"/>
      <c r="C74" s="44"/>
      <c r="D74" s="44"/>
      <c r="E74" s="44" t="s">
        <v>100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 t="str">
        <f>"35 м² - "&amp;(689*Belarus)&amp;"   
"&amp;"70 м² - "&amp;(1353*Belarus)</f>
        <v>35 м² - 689   
70 м² - 1353</v>
      </c>
      <c r="X74" s="45"/>
      <c r="Y74" s="45"/>
      <c r="Z74" s="45"/>
      <c r="AA74" s="45"/>
      <c r="AB74" s="45"/>
      <c r="AC74" s="45"/>
    </row>
    <row r="75" spans="1:29" ht="12.75" customHeight="1" x14ac:dyDescent="0.2">
      <c r="A75" s="44" t="s">
        <v>101</v>
      </c>
      <c r="B75" s="44"/>
      <c r="C75" s="44"/>
      <c r="D75" s="44"/>
      <c r="E75" s="44" t="s">
        <v>102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5">
        <f>150*Belarus</f>
        <v>150</v>
      </c>
      <c r="X75" s="45"/>
      <c r="Y75" s="45"/>
      <c r="Z75" s="45"/>
      <c r="AA75" s="45"/>
      <c r="AB75" s="45"/>
      <c r="AC75" s="45"/>
    </row>
    <row r="76" spans="1:29" ht="12.75" customHeight="1" x14ac:dyDescent="0.2">
      <c r="A76" s="44" t="s">
        <v>103</v>
      </c>
      <c r="B76" s="44"/>
      <c r="C76" s="44"/>
      <c r="D76" s="44"/>
      <c r="E76" s="44" t="s">
        <v>104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>
        <f>2500*Belarus</f>
        <v>2500</v>
      </c>
      <c r="X76" s="45"/>
      <c r="Y76" s="45"/>
      <c r="Z76" s="45"/>
      <c r="AA76" s="45"/>
      <c r="AB76" s="45"/>
      <c r="AC76" s="45"/>
    </row>
    <row r="77" spans="1:29" ht="12.75" customHeight="1" x14ac:dyDescent="0.2">
      <c r="A77" s="44" t="s">
        <v>105</v>
      </c>
      <c r="B77" s="44"/>
      <c r="C77" s="44"/>
      <c r="D77" s="44"/>
      <c r="E77" s="44" t="s">
        <v>106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5">
        <f>1560*Belarus</f>
        <v>1560</v>
      </c>
      <c r="X77" s="45"/>
      <c r="Y77" s="45"/>
      <c r="Z77" s="45"/>
      <c r="AA77" s="45"/>
      <c r="AB77" s="45"/>
      <c r="AC77" s="45"/>
    </row>
    <row r="79" spans="1:29" x14ac:dyDescent="0.2">
      <c r="A79" s="43" t="s">
        <v>107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x14ac:dyDescent="0.2">
      <c r="A80" s="35" t="s">
        <v>108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ht="12.75" customHeight="1" x14ac:dyDescent="0.2">
      <c r="A81" s="36" t="s">
        <v>109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2.75" customHeight="1" x14ac:dyDescent="0.2">
      <c r="A82" s="36" t="s">
        <v>110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2.75" customHeight="1" x14ac:dyDescent="0.2">
      <c r="A83" s="36" t="s">
        <v>111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2.75" customHeight="1" x14ac:dyDescent="0.2">
      <c r="A84" s="36" t="s">
        <v>112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2.75" customHeight="1" x14ac:dyDescent="0.2">
      <c r="A85" s="35" t="s">
        <v>113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spans="1:29" ht="0.75" customHeight="1" x14ac:dyDescent="0.2">
      <c r="A86" s="36" t="s">
        <v>114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9" spans="1:29" ht="8.25" customHeight="1" x14ac:dyDescent="0.2"/>
    <row r="90" spans="1:29" hidden="1" x14ac:dyDescent="0.2">
      <c r="A90" s="37" t="s">
        <v>115</v>
      </c>
      <c r="B90" s="38"/>
      <c r="C90" s="41" t="s">
        <v>116</v>
      </c>
      <c r="D90" s="41" t="s">
        <v>117</v>
      </c>
      <c r="E90" s="41" t="s">
        <v>118</v>
      </c>
      <c r="F90" s="41" t="s">
        <v>119</v>
      </c>
    </row>
    <row r="91" spans="1:29" hidden="1" x14ac:dyDescent="0.2">
      <c r="A91" s="39"/>
      <c r="B91" s="40"/>
      <c r="C91" s="42"/>
      <c r="D91" s="42"/>
      <c r="E91" s="42"/>
      <c r="F91" s="42"/>
    </row>
    <row r="92" spans="1:29" hidden="1" x14ac:dyDescent="0.2">
      <c r="A92" s="33" t="s">
        <v>120</v>
      </c>
      <c r="B92" s="33"/>
      <c r="C92" s="32">
        <v>0.05</v>
      </c>
      <c r="D92" s="32">
        <v>0.08</v>
      </c>
      <c r="E92" s="32">
        <v>0.08</v>
      </c>
      <c r="F92" s="32" t="s">
        <v>16</v>
      </c>
    </row>
    <row r="93" spans="1:29" hidden="1" x14ac:dyDescent="0.2">
      <c r="A93" s="33" t="s">
        <v>121</v>
      </c>
      <c r="B93" s="33"/>
      <c r="C93" s="32">
        <v>0.05</v>
      </c>
      <c r="D93" s="32">
        <v>0.08</v>
      </c>
      <c r="E93" s="32">
        <v>0.08</v>
      </c>
      <c r="F93" s="32" t="s">
        <v>16</v>
      </c>
    </row>
    <row r="94" spans="1:29" hidden="1" x14ac:dyDescent="0.2">
      <c r="A94" s="33" t="s">
        <v>122</v>
      </c>
      <c r="B94" s="33"/>
      <c r="C94" s="32" t="s">
        <v>16</v>
      </c>
      <c r="D94" s="32" t="s">
        <v>16</v>
      </c>
      <c r="E94" s="32" t="s">
        <v>16</v>
      </c>
      <c r="F94" s="32">
        <v>0</v>
      </c>
    </row>
    <row r="95" spans="1:29" hidden="1" x14ac:dyDescent="0.2">
      <c r="A95" s="33" t="s">
        <v>123</v>
      </c>
      <c r="B95" s="33"/>
      <c r="C95" s="32">
        <v>0.13</v>
      </c>
      <c r="D95" s="32">
        <v>0.08</v>
      </c>
      <c r="E95" s="32">
        <v>0.08</v>
      </c>
      <c r="F95" s="32" t="s">
        <v>16</v>
      </c>
    </row>
    <row r="96" spans="1:29" hidden="1" x14ac:dyDescent="0.2">
      <c r="A96" s="33" t="s">
        <v>124</v>
      </c>
      <c r="B96" s="33"/>
      <c r="C96" s="32">
        <v>0.13</v>
      </c>
      <c r="D96" s="32" t="s">
        <v>16</v>
      </c>
      <c r="E96" s="32" t="s">
        <v>16</v>
      </c>
      <c r="F96" s="32" t="s">
        <v>16</v>
      </c>
    </row>
    <row r="97" spans="1:6" hidden="1" x14ac:dyDescent="0.2">
      <c r="A97" s="33" t="s">
        <v>125</v>
      </c>
      <c r="B97" s="33"/>
      <c r="C97" s="32" t="s">
        <v>16</v>
      </c>
      <c r="D97" s="32">
        <v>0.08</v>
      </c>
      <c r="E97" s="32">
        <v>0.08</v>
      </c>
      <c r="F97" s="32" t="s">
        <v>16</v>
      </c>
    </row>
    <row r="98" spans="1:6" hidden="1" x14ac:dyDescent="0.2">
      <c r="A98" s="33" t="s">
        <v>126</v>
      </c>
      <c r="B98" s="33"/>
      <c r="C98" s="34">
        <v>0.05</v>
      </c>
      <c r="D98" s="34"/>
      <c r="E98" s="34"/>
      <c r="F98" s="34"/>
    </row>
    <row r="99" spans="1:6" hidden="1" x14ac:dyDescent="0.2">
      <c r="A99" s="33" t="s">
        <v>127</v>
      </c>
      <c r="B99" s="33"/>
      <c r="C99" s="34">
        <v>0.2</v>
      </c>
      <c r="D99" s="34"/>
      <c r="E99" s="34"/>
      <c r="F99" s="34"/>
    </row>
    <row r="100" spans="1:6" hidden="1" x14ac:dyDescent="0.2">
      <c r="A100" s="33" t="s">
        <v>128</v>
      </c>
      <c r="B100" s="33"/>
      <c r="C100" s="34">
        <v>0.2</v>
      </c>
      <c r="D100" s="34"/>
      <c r="E100" s="34"/>
      <c r="F100" s="34"/>
    </row>
    <row r="101" spans="1:6" hidden="1" x14ac:dyDescent="0.2">
      <c r="A101" s="33" t="s">
        <v>129</v>
      </c>
      <c r="B101" s="33"/>
      <c r="C101" s="34">
        <v>0</v>
      </c>
      <c r="D101" s="34"/>
      <c r="E101" s="34"/>
      <c r="F101" s="34"/>
    </row>
    <row r="102" spans="1:6" hidden="1" x14ac:dyDescent="0.2">
      <c r="A102" s="33" t="s">
        <v>130</v>
      </c>
      <c r="B102" s="33"/>
      <c r="C102" s="34">
        <v>0.3</v>
      </c>
      <c r="D102" s="34"/>
      <c r="E102" s="34"/>
      <c r="F102" s="34"/>
    </row>
    <row r="103" spans="1:6" hidden="1" x14ac:dyDescent="0.2">
      <c r="A103" s="33" t="s">
        <v>131</v>
      </c>
      <c r="B103" s="33"/>
      <c r="C103" s="34">
        <v>0</v>
      </c>
      <c r="D103" s="34"/>
      <c r="E103" s="34"/>
      <c r="F103" s="34"/>
    </row>
  </sheetData>
  <sheetProtection password="E0B9" sheet="1" objects="1" scenarios="1" selectLockedCells="1" selectUnlockedCells="1"/>
  <mergeCells count="247">
    <mergeCell ref="G8:I8"/>
    <mergeCell ref="J8:L8"/>
    <mergeCell ref="M8:O8"/>
    <mergeCell ref="P8:R8"/>
    <mergeCell ref="X8:AA8"/>
    <mergeCell ref="AB8:AC8"/>
    <mergeCell ref="A1:C1"/>
    <mergeCell ref="A5:AC5"/>
    <mergeCell ref="AA6:AC6"/>
    <mergeCell ref="A7:F8"/>
    <mergeCell ref="G7:L7"/>
    <mergeCell ref="M7:R7"/>
    <mergeCell ref="S7:T8"/>
    <mergeCell ref="U7:U8"/>
    <mergeCell ref="V7:W8"/>
    <mergeCell ref="X7:AC7"/>
    <mergeCell ref="V11:W11"/>
    <mergeCell ref="X11:AA11"/>
    <mergeCell ref="AB11:AC11"/>
    <mergeCell ref="A12:F12"/>
    <mergeCell ref="G12:T12"/>
    <mergeCell ref="V12:W12"/>
    <mergeCell ref="X12:AA12"/>
    <mergeCell ref="AB12:AC12"/>
    <mergeCell ref="A9:AC9"/>
    <mergeCell ref="A10:F11"/>
    <mergeCell ref="G10:I11"/>
    <mergeCell ref="J10:L11"/>
    <mergeCell ref="M10:O11"/>
    <mergeCell ref="P10:R11"/>
    <mergeCell ref="S10:T11"/>
    <mergeCell ref="V10:W10"/>
    <mergeCell ref="X10:AA10"/>
    <mergeCell ref="AB10:AC10"/>
    <mergeCell ref="A19:AC19"/>
    <mergeCell ref="A20:A21"/>
    <mergeCell ref="B20:B21"/>
    <mergeCell ref="C20:C21"/>
    <mergeCell ref="D20:D21"/>
    <mergeCell ref="E20:E21"/>
    <mergeCell ref="A13:AC13"/>
    <mergeCell ref="A15:F17"/>
    <mergeCell ref="G15:AC15"/>
    <mergeCell ref="G16:S16"/>
    <mergeCell ref="T16:U17"/>
    <mergeCell ref="V16:Y17"/>
    <mergeCell ref="Z16:AC17"/>
    <mergeCell ref="G17:O17"/>
    <mergeCell ref="P17:R17"/>
    <mergeCell ref="S17:S18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P45:Q45"/>
    <mergeCell ref="V45:Y45"/>
    <mergeCell ref="P46:Q46"/>
    <mergeCell ref="V46:Y46"/>
    <mergeCell ref="P47:Q47"/>
    <mergeCell ref="T47:U47"/>
    <mergeCell ref="V47:Y47"/>
    <mergeCell ref="A34:AC34"/>
    <mergeCell ref="P43:Q43"/>
    <mergeCell ref="T43:U43"/>
    <mergeCell ref="V43:Y43"/>
    <mergeCell ref="P44:Q44"/>
    <mergeCell ref="V44:Y44"/>
    <mergeCell ref="P48:Q48"/>
    <mergeCell ref="T48:U48"/>
    <mergeCell ref="V48:Y48"/>
    <mergeCell ref="A49:AC49"/>
    <mergeCell ref="A55:F56"/>
    <mergeCell ref="G55:AC55"/>
    <mergeCell ref="G56:L56"/>
    <mergeCell ref="M56:U56"/>
    <mergeCell ref="V56:AC56"/>
    <mergeCell ref="Z57:AC57"/>
    <mergeCell ref="A58:AC58"/>
    <mergeCell ref="A59:A60"/>
    <mergeCell ref="B59:B60"/>
    <mergeCell ref="C59:C60"/>
    <mergeCell ref="D59:D60"/>
    <mergeCell ref="E59:E60"/>
    <mergeCell ref="G59:I59"/>
    <mergeCell ref="J59:L59"/>
    <mergeCell ref="M59:O59"/>
    <mergeCell ref="G57:I57"/>
    <mergeCell ref="J57:L57"/>
    <mergeCell ref="M57:O57"/>
    <mergeCell ref="P57:R57"/>
    <mergeCell ref="S57:U57"/>
    <mergeCell ref="V57:Y57"/>
    <mergeCell ref="P59:R59"/>
    <mergeCell ref="S59:U59"/>
    <mergeCell ref="V59:Y59"/>
    <mergeCell ref="Z59:AC59"/>
    <mergeCell ref="G60:I60"/>
    <mergeCell ref="J60:L60"/>
    <mergeCell ref="M60:O60"/>
    <mergeCell ref="P60:R60"/>
    <mergeCell ref="S60:U60"/>
    <mergeCell ref="V60:Y60"/>
    <mergeCell ref="Z60:AC60"/>
    <mergeCell ref="A61:A62"/>
    <mergeCell ref="B61:B62"/>
    <mergeCell ref="C61:C62"/>
    <mergeCell ref="D61:D62"/>
    <mergeCell ref="E61:E62"/>
    <mergeCell ref="G61:I61"/>
    <mergeCell ref="J61:L61"/>
    <mergeCell ref="M61:O61"/>
    <mergeCell ref="P61:R61"/>
    <mergeCell ref="S61:U61"/>
    <mergeCell ref="V61:Y61"/>
    <mergeCell ref="Z61:AC61"/>
    <mergeCell ref="G62:I62"/>
    <mergeCell ref="J62:L62"/>
    <mergeCell ref="M62:O62"/>
    <mergeCell ref="P62:R62"/>
    <mergeCell ref="S62:U62"/>
    <mergeCell ref="V62:Y62"/>
    <mergeCell ref="Z62:AC62"/>
    <mergeCell ref="P64:R64"/>
    <mergeCell ref="S64:U64"/>
    <mergeCell ref="V64:Y64"/>
    <mergeCell ref="Z64:AC64"/>
    <mergeCell ref="J63:L63"/>
    <mergeCell ref="M63:O63"/>
    <mergeCell ref="P63:R63"/>
    <mergeCell ref="S63:U63"/>
    <mergeCell ref="V63:Y63"/>
    <mergeCell ref="Z63:AC63"/>
    <mergeCell ref="A65:A66"/>
    <mergeCell ref="B65:B66"/>
    <mergeCell ref="C65:C66"/>
    <mergeCell ref="D65:D66"/>
    <mergeCell ref="E65:E66"/>
    <mergeCell ref="G65:I65"/>
    <mergeCell ref="G66:I66"/>
    <mergeCell ref="J64:L64"/>
    <mergeCell ref="M64:O64"/>
    <mergeCell ref="A63:A64"/>
    <mergeCell ref="B63:B64"/>
    <mergeCell ref="C63:C64"/>
    <mergeCell ref="D63:D64"/>
    <mergeCell ref="E63:E64"/>
    <mergeCell ref="G63:I63"/>
    <mergeCell ref="G64:I64"/>
    <mergeCell ref="J66:L66"/>
    <mergeCell ref="M66:O66"/>
    <mergeCell ref="P66:R66"/>
    <mergeCell ref="S66:U66"/>
    <mergeCell ref="V66:Y66"/>
    <mergeCell ref="Z66:AC66"/>
    <mergeCell ref="J65:L65"/>
    <mergeCell ref="M65:O65"/>
    <mergeCell ref="P65:R65"/>
    <mergeCell ref="S65:U65"/>
    <mergeCell ref="V65:Y65"/>
    <mergeCell ref="Z65:AC65"/>
    <mergeCell ref="A70:D70"/>
    <mergeCell ref="E70:V70"/>
    <mergeCell ref="W70:AC70"/>
    <mergeCell ref="A71:D71"/>
    <mergeCell ref="E71:V71"/>
    <mergeCell ref="W71:AC71"/>
    <mergeCell ref="A68:D68"/>
    <mergeCell ref="E68:V68"/>
    <mergeCell ref="W68:AC68"/>
    <mergeCell ref="A69:D69"/>
    <mergeCell ref="E69:V69"/>
    <mergeCell ref="W69:AC69"/>
    <mergeCell ref="A74:D74"/>
    <mergeCell ref="E74:V74"/>
    <mergeCell ref="W74:AC74"/>
    <mergeCell ref="A75:D75"/>
    <mergeCell ref="E75:V75"/>
    <mergeCell ref="W75:AC75"/>
    <mergeCell ref="A72:D72"/>
    <mergeCell ref="E72:V72"/>
    <mergeCell ref="W72:AC72"/>
    <mergeCell ref="A73:D73"/>
    <mergeCell ref="E73:V73"/>
    <mergeCell ref="W73:AC73"/>
    <mergeCell ref="A79:AC79"/>
    <mergeCell ref="A80:AC80"/>
    <mergeCell ref="A81:AC81"/>
    <mergeCell ref="A82:AC82"/>
    <mergeCell ref="A83:AC83"/>
    <mergeCell ref="A84:AC84"/>
    <mergeCell ref="A76:D76"/>
    <mergeCell ref="E76:V76"/>
    <mergeCell ref="W76:AC76"/>
    <mergeCell ref="A77:D77"/>
    <mergeCell ref="E77:V77"/>
    <mergeCell ref="W77:AC77"/>
    <mergeCell ref="A92:B92"/>
    <mergeCell ref="A93:B93"/>
    <mergeCell ref="A94:B94"/>
    <mergeCell ref="A95:B95"/>
    <mergeCell ref="A96:B96"/>
    <mergeCell ref="A97:B97"/>
    <mergeCell ref="A85:AC85"/>
    <mergeCell ref="A86:AC86"/>
    <mergeCell ref="A90:B91"/>
    <mergeCell ref="C90:C91"/>
    <mergeCell ref="D90:D91"/>
    <mergeCell ref="E90:E91"/>
    <mergeCell ref="F90:F91"/>
    <mergeCell ref="A101:B101"/>
    <mergeCell ref="C101:F101"/>
    <mergeCell ref="A102:B102"/>
    <mergeCell ref="C102:F102"/>
    <mergeCell ref="A103:B103"/>
    <mergeCell ref="C103:F103"/>
    <mergeCell ref="A98:B98"/>
    <mergeCell ref="C98:F98"/>
    <mergeCell ref="A99:B99"/>
    <mergeCell ref="C99:F99"/>
    <mergeCell ref="A100:B100"/>
    <mergeCell ref="C100:F100"/>
  </mergeCells>
  <printOptions horizontalCentered="1"/>
  <pageMargins left="0" right="0" top="0" bottom="0" header="0" footer="0"/>
  <pageSetup paperSize="9" scale="38" firstPageNumber="0" orientation="landscape" r:id="rId1"/>
  <headerFooter>
    <oddFooter>&amp;RСтраница 31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Виниловый сайдинг</vt:lpstr>
      <vt:lpstr>'Виниловый сайдинг'!Область_печати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</cp:lastModifiedBy>
  <dcterms:created xsi:type="dcterms:W3CDTF">2018-03-05T07:27:56Z</dcterms:created>
  <dcterms:modified xsi:type="dcterms:W3CDTF">2018-03-06T12:21:15Z</dcterms:modified>
</cp:coreProperties>
</file>